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17"/>
  </bookViews>
  <sheets>
    <sheet name="TVM" sheetId="1" r:id="rId1"/>
    <sheet name="KLM" sheetId="2" r:id="rId2"/>
    <sheet name="PTA" sheetId="3" r:id="rId3"/>
    <sheet name="ALP" sheetId="4" r:id="rId4"/>
    <sheet name="KTM" sheetId="5" r:id="rId5"/>
    <sheet name="IDK" sheetId="6" r:id="rId6"/>
    <sheet name="EKM" sheetId="7" r:id="rId7"/>
    <sheet name="TSR" sheetId="8" r:id="rId8"/>
    <sheet name="PLKD" sheetId="9" r:id="rId9"/>
    <sheet name="MLPM" sheetId="10" r:id="rId10"/>
    <sheet name="KKD" sheetId="11" r:id="rId11"/>
    <sheet name="WYND" sheetId="12" r:id="rId12"/>
    <sheet name="KNR" sheetId="13" r:id="rId13"/>
    <sheet name="KSRGD" sheetId="14" r:id="rId14"/>
    <sheet name="SHS" sheetId="15" r:id="rId15"/>
    <sheet name="TOTAL" sheetId="16" r:id="rId16"/>
    <sheet name="district total" sheetId="19" r:id="rId17"/>
    <sheet name="Summary" sheetId="18" r:id="rId18"/>
  </sheets>
  <definedNames>
    <definedName name="_xlnm._FilterDatabase" localSheetId="7" hidden="1">TSR!$A$1:$Z$1000</definedName>
  </definedNames>
  <calcPr calcId="124519"/>
</workbook>
</file>

<file path=xl/calcChain.xml><?xml version="1.0" encoding="utf-8"?>
<calcChain xmlns="http://schemas.openxmlformats.org/spreadsheetml/2006/main">
  <c r="G7" i="19"/>
  <c r="H7"/>
  <c r="J7"/>
  <c r="K7"/>
  <c r="L7"/>
  <c r="M7"/>
  <c r="O7"/>
  <c r="P7"/>
  <c r="Q7"/>
  <c r="R7"/>
  <c r="S7"/>
  <c r="G8"/>
  <c r="H8"/>
  <c r="J8"/>
  <c r="K8"/>
  <c r="L8"/>
  <c r="M8"/>
  <c r="O8"/>
  <c r="P8"/>
  <c r="Q8"/>
  <c r="R8"/>
  <c r="S8"/>
  <c r="G9"/>
  <c r="H9"/>
  <c r="J9"/>
  <c r="K9"/>
  <c r="L9"/>
  <c r="M9"/>
  <c r="O9"/>
  <c r="P9"/>
  <c r="Q9"/>
  <c r="R9"/>
  <c r="S9"/>
  <c r="G10"/>
  <c r="H10"/>
  <c r="J10"/>
  <c r="K10"/>
  <c r="L10"/>
  <c r="M10"/>
  <c r="O10"/>
  <c r="P10"/>
  <c r="Q10"/>
  <c r="R10"/>
  <c r="S10"/>
  <c r="G11"/>
  <c r="H11"/>
  <c r="J11"/>
  <c r="K11"/>
  <c r="L11"/>
  <c r="M11"/>
  <c r="O11"/>
  <c r="P11"/>
  <c r="Q11"/>
  <c r="R11"/>
  <c r="S11"/>
  <c r="G12"/>
  <c r="H12"/>
  <c r="J12"/>
  <c r="K12"/>
  <c r="L12"/>
  <c r="M12"/>
  <c r="O12"/>
  <c r="P12"/>
  <c r="Q12"/>
  <c r="R12"/>
  <c r="S12"/>
  <c r="G13"/>
  <c r="H13"/>
  <c r="J13"/>
  <c r="K13"/>
  <c r="L13"/>
  <c r="M13"/>
  <c r="O13"/>
  <c r="P13"/>
  <c r="Q13"/>
  <c r="R13"/>
  <c r="S13"/>
  <c r="G14"/>
  <c r="H14"/>
  <c r="J14"/>
  <c r="K14"/>
  <c r="L14"/>
  <c r="M14"/>
  <c r="O14"/>
  <c r="P14"/>
  <c r="Q14"/>
  <c r="R14"/>
  <c r="S14"/>
  <c r="G15"/>
  <c r="H15"/>
  <c r="J15"/>
  <c r="K15"/>
  <c r="L15"/>
  <c r="M15"/>
  <c r="O15"/>
  <c r="P15"/>
  <c r="Q15"/>
  <c r="R15"/>
  <c r="S15"/>
  <c r="G16"/>
  <c r="H16"/>
  <c r="J16"/>
  <c r="K16"/>
  <c r="L16"/>
  <c r="M16"/>
  <c r="O16"/>
  <c r="P16"/>
  <c r="Q16"/>
  <c r="R16"/>
  <c r="S16"/>
  <c r="G17"/>
  <c r="H17"/>
  <c r="J17"/>
  <c r="K17"/>
  <c r="L17"/>
  <c r="M17"/>
  <c r="O17"/>
  <c r="P17"/>
  <c r="Q17"/>
  <c r="R17"/>
  <c r="S17"/>
  <c r="G18"/>
  <c r="H18"/>
  <c r="J18"/>
  <c r="K18"/>
  <c r="L18"/>
  <c r="M18"/>
  <c r="O18"/>
  <c r="P18"/>
  <c r="Q18"/>
  <c r="R18"/>
  <c r="S18"/>
  <c r="G19"/>
  <c r="H19"/>
  <c r="J19"/>
  <c r="K19"/>
  <c r="L19"/>
  <c r="M19"/>
  <c r="O19"/>
  <c r="P19"/>
  <c r="Q19"/>
  <c r="R19"/>
  <c r="S19"/>
  <c r="G20"/>
  <c r="H20"/>
  <c r="J20"/>
  <c r="K20"/>
  <c r="L20"/>
  <c r="M20"/>
  <c r="O20"/>
  <c r="P20"/>
  <c r="Q20"/>
  <c r="R20"/>
  <c r="S20"/>
  <c r="G21"/>
  <c r="H21"/>
  <c r="J21"/>
  <c r="K21"/>
  <c r="L21"/>
  <c r="M21"/>
  <c r="O21"/>
  <c r="P21"/>
  <c r="Q21"/>
  <c r="R21"/>
  <c r="S21"/>
  <c r="G22"/>
  <c r="H22"/>
  <c r="J22"/>
  <c r="K22"/>
  <c r="L22"/>
  <c r="M22"/>
  <c r="O22"/>
  <c r="P22"/>
  <c r="Q22"/>
  <c r="R22"/>
  <c r="S22"/>
  <c r="G23"/>
  <c r="H23"/>
  <c r="J23"/>
  <c r="K23"/>
  <c r="L23"/>
  <c r="M23"/>
  <c r="O23"/>
  <c r="P23"/>
  <c r="Q23"/>
  <c r="R23"/>
  <c r="S23"/>
  <c r="G24"/>
  <c r="H24"/>
  <c r="J24"/>
  <c r="K24"/>
  <c r="L24"/>
  <c r="M24"/>
  <c r="O24"/>
  <c r="P24"/>
  <c r="Q24"/>
  <c r="R24"/>
  <c r="S24"/>
  <c r="G25"/>
  <c r="H25"/>
  <c r="J25"/>
  <c r="K25"/>
  <c r="L25"/>
  <c r="M25"/>
  <c r="O25"/>
  <c r="P25"/>
  <c r="Q25"/>
  <c r="R25"/>
  <c r="S25"/>
  <c r="G26"/>
  <c r="H26"/>
  <c r="J26"/>
  <c r="K26"/>
  <c r="L26"/>
  <c r="M26"/>
  <c r="O26"/>
  <c r="P26"/>
  <c r="Q26"/>
  <c r="R26"/>
  <c r="S26"/>
  <c r="G27"/>
  <c r="H27"/>
  <c r="J27"/>
  <c r="K27"/>
  <c r="L27"/>
  <c r="M27"/>
  <c r="O27"/>
  <c r="P27"/>
  <c r="Q27"/>
  <c r="R27"/>
  <c r="S27"/>
  <c r="G28"/>
  <c r="H28"/>
  <c r="J28"/>
  <c r="K28"/>
  <c r="L28"/>
  <c r="M28"/>
  <c r="O28"/>
  <c r="P28"/>
  <c r="Q28"/>
  <c r="R28"/>
  <c r="S28"/>
  <c r="G29"/>
  <c r="H29"/>
  <c r="J29"/>
  <c r="K29"/>
  <c r="L29"/>
  <c r="M29"/>
  <c r="O29"/>
  <c r="P29"/>
  <c r="Q29"/>
  <c r="R29"/>
  <c r="S29"/>
  <c r="G30"/>
  <c r="H30"/>
  <c r="J30"/>
  <c r="K30"/>
  <c r="L30"/>
  <c r="M30"/>
  <c r="O30"/>
  <c r="P30"/>
  <c r="Q30"/>
  <c r="R30"/>
  <c r="S30"/>
  <c r="G31"/>
  <c r="H31"/>
  <c r="J31"/>
  <c r="K31"/>
  <c r="L31"/>
  <c r="M31"/>
  <c r="O31"/>
  <c r="P31"/>
  <c r="Q31"/>
  <c r="R31"/>
  <c r="S31"/>
  <c r="G32"/>
  <c r="H32"/>
  <c r="J32"/>
  <c r="K32"/>
  <c r="L32"/>
  <c r="M32"/>
  <c r="O32"/>
  <c r="P32"/>
  <c r="Q32"/>
  <c r="R32"/>
  <c r="S32"/>
  <c r="G33"/>
  <c r="H33"/>
  <c r="J33"/>
  <c r="K33"/>
  <c r="L33"/>
  <c r="M33"/>
  <c r="O33"/>
  <c r="P33"/>
  <c r="Q33"/>
  <c r="R33"/>
  <c r="S33"/>
  <c r="G34"/>
  <c r="H34"/>
  <c r="J34"/>
  <c r="K34"/>
  <c r="L34"/>
  <c r="M34"/>
  <c r="O34"/>
  <c r="P34"/>
  <c r="Q34"/>
  <c r="R34"/>
  <c r="S34"/>
  <c r="G35"/>
  <c r="H35"/>
  <c r="J35"/>
  <c r="K35"/>
  <c r="L35"/>
  <c r="M35"/>
  <c r="O35"/>
  <c r="P35"/>
  <c r="Q35"/>
  <c r="R35"/>
  <c r="S35"/>
  <c r="G36"/>
  <c r="H36"/>
  <c r="J36"/>
  <c r="K36"/>
  <c r="L36"/>
  <c r="M36"/>
  <c r="O36"/>
  <c r="P36"/>
  <c r="Q36"/>
  <c r="R36"/>
  <c r="S36"/>
  <c r="G37"/>
  <c r="H37"/>
  <c r="J37"/>
  <c r="K37"/>
  <c r="L37"/>
  <c r="M37"/>
  <c r="O37"/>
  <c r="P37"/>
  <c r="Q37"/>
  <c r="R37"/>
  <c r="S37"/>
  <c r="G38"/>
  <c r="H38"/>
  <c r="J38"/>
  <c r="K38"/>
  <c r="L38"/>
  <c r="M38"/>
  <c r="O38"/>
  <c r="P38"/>
  <c r="Q38"/>
  <c r="R38"/>
  <c r="S38"/>
  <c r="G39"/>
  <c r="H39"/>
  <c r="J39"/>
  <c r="K39"/>
  <c r="L39"/>
  <c r="M39"/>
  <c r="O39"/>
  <c r="P39"/>
  <c r="Q39"/>
  <c r="R39"/>
  <c r="S39"/>
  <c r="G40"/>
  <c r="H40"/>
  <c r="J40"/>
  <c r="K40"/>
  <c r="L40"/>
  <c r="M40"/>
  <c r="O40"/>
  <c r="P40"/>
  <c r="Q40"/>
  <c r="R40"/>
  <c r="S40"/>
  <c r="G41"/>
  <c r="H41"/>
  <c r="J41"/>
  <c r="K41"/>
  <c r="L41"/>
  <c r="M41"/>
  <c r="O41"/>
  <c r="P41"/>
  <c r="Q41"/>
  <c r="R41"/>
  <c r="S41"/>
  <c r="G42"/>
  <c r="H42"/>
  <c r="J42"/>
  <c r="K42"/>
  <c r="L42"/>
  <c r="M42"/>
  <c r="O42"/>
  <c r="P42"/>
  <c r="Q42"/>
  <c r="R42"/>
  <c r="S42"/>
  <c r="G43"/>
  <c r="H43"/>
  <c r="J43"/>
  <c r="K43"/>
  <c r="L43"/>
  <c r="M43"/>
  <c r="O43"/>
  <c r="P43"/>
  <c r="Q43"/>
  <c r="R43"/>
  <c r="S43"/>
  <c r="G44"/>
  <c r="H44"/>
  <c r="J44"/>
  <c r="K44"/>
  <c r="L44"/>
  <c r="M44"/>
  <c r="O44"/>
  <c r="P44"/>
  <c r="Q44"/>
  <c r="R44"/>
  <c r="S44"/>
  <c r="G45"/>
  <c r="H45"/>
  <c r="J45"/>
  <c r="K45"/>
  <c r="L45"/>
  <c r="M45"/>
  <c r="O45"/>
  <c r="P45"/>
  <c r="Q45"/>
  <c r="R45"/>
  <c r="S45"/>
  <c r="G46"/>
  <c r="H46"/>
  <c r="J46"/>
  <c r="K46"/>
  <c r="L46"/>
  <c r="M46"/>
  <c r="O46"/>
  <c r="P46"/>
  <c r="Q46"/>
  <c r="R46"/>
  <c r="S46"/>
  <c r="G47"/>
  <c r="H47"/>
  <c r="J47"/>
  <c r="K47"/>
  <c r="L47"/>
  <c r="M47"/>
  <c r="O47"/>
  <c r="P47"/>
  <c r="Q47"/>
  <c r="R47"/>
  <c r="S47"/>
  <c r="G48"/>
  <c r="H48"/>
  <c r="J48"/>
  <c r="K48"/>
  <c r="L48"/>
  <c r="M48"/>
  <c r="O48"/>
  <c r="P48"/>
  <c r="Q48"/>
  <c r="R48"/>
  <c r="S48"/>
  <c r="G49"/>
  <c r="H49"/>
  <c r="J49"/>
  <c r="K49"/>
  <c r="L49"/>
  <c r="M49"/>
  <c r="O49"/>
  <c r="P49"/>
  <c r="Q49"/>
  <c r="R49"/>
  <c r="S49"/>
  <c r="G50"/>
  <c r="H50"/>
  <c r="J50"/>
  <c r="K50"/>
  <c r="L50"/>
  <c r="M50"/>
  <c r="O50"/>
  <c r="P50"/>
  <c r="Q50"/>
  <c r="R50"/>
  <c r="S50"/>
  <c r="G51"/>
  <c r="H51"/>
  <c r="J51"/>
  <c r="K51"/>
  <c r="L51"/>
  <c r="M51"/>
  <c r="O51"/>
  <c r="P51"/>
  <c r="Q51"/>
  <c r="R51"/>
  <c r="S51"/>
  <c r="G52"/>
  <c r="H52"/>
  <c r="J52"/>
  <c r="K52"/>
  <c r="L52"/>
  <c r="M52"/>
  <c r="O52"/>
  <c r="P52"/>
  <c r="Q52"/>
  <c r="R52"/>
  <c r="S52"/>
  <c r="G53"/>
  <c r="H53"/>
  <c r="J53"/>
  <c r="K53"/>
  <c r="L53"/>
  <c r="M53"/>
  <c r="O53"/>
  <c r="P53"/>
  <c r="Q53"/>
  <c r="R53"/>
  <c r="S53"/>
  <c r="G54"/>
  <c r="H54"/>
  <c r="J54"/>
  <c r="K54"/>
  <c r="L54"/>
  <c r="M54"/>
  <c r="O54"/>
  <c r="P54"/>
  <c r="Q54"/>
  <c r="R54"/>
  <c r="S54"/>
  <c r="G55"/>
  <c r="H55"/>
  <c r="J55"/>
  <c r="K55"/>
  <c r="L55"/>
  <c r="M55"/>
  <c r="O55"/>
  <c r="P55"/>
  <c r="Q55"/>
  <c r="R55"/>
  <c r="S55"/>
  <c r="G56"/>
  <c r="H56"/>
  <c r="J56"/>
  <c r="K56"/>
  <c r="L56"/>
  <c r="M56"/>
  <c r="O56"/>
  <c r="P56"/>
  <c r="Q56"/>
  <c r="R56"/>
  <c r="S56"/>
  <c r="G57"/>
  <c r="H57"/>
  <c r="J57"/>
  <c r="K57"/>
  <c r="L57"/>
  <c r="M57"/>
  <c r="O57"/>
  <c r="P57"/>
  <c r="Q57"/>
  <c r="R57"/>
  <c r="S57"/>
  <c r="G58"/>
  <c r="H58"/>
  <c r="J58"/>
  <c r="K58"/>
  <c r="L58"/>
  <c r="M58"/>
  <c r="O58"/>
  <c r="P58"/>
  <c r="Q58"/>
  <c r="R58"/>
  <c r="S58"/>
  <c r="G59"/>
  <c r="H59"/>
  <c r="J59"/>
  <c r="K59"/>
  <c r="L59"/>
  <c r="M59"/>
  <c r="O59"/>
  <c r="P59"/>
  <c r="Q59"/>
  <c r="R59"/>
  <c r="S59"/>
  <c r="G60"/>
  <c r="H60"/>
  <c r="J60"/>
  <c r="K60"/>
  <c r="L60"/>
  <c r="M60"/>
  <c r="O60"/>
  <c r="P60"/>
  <c r="Q60"/>
  <c r="R60"/>
  <c r="S60"/>
  <c r="G61"/>
  <c r="H61"/>
  <c r="J61"/>
  <c r="K61"/>
  <c r="L61"/>
  <c r="M61"/>
  <c r="O61"/>
  <c r="P61"/>
  <c r="Q61"/>
  <c r="R61"/>
  <c r="S61"/>
  <c r="G62"/>
  <c r="H62"/>
  <c r="J62"/>
  <c r="K62"/>
  <c r="L62"/>
  <c r="M62"/>
  <c r="O62"/>
  <c r="P62"/>
  <c r="Q62"/>
  <c r="R62"/>
  <c r="S62"/>
  <c r="G63"/>
  <c r="H63"/>
  <c r="J63"/>
  <c r="K63"/>
  <c r="L63"/>
  <c r="M63"/>
  <c r="O63"/>
  <c r="P63"/>
  <c r="Q63"/>
  <c r="R63"/>
  <c r="S63"/>
  <c r="G64"/>
  <c r="H64"/>
  <c r="J64"/>
  <c r="K64"/>
  <c r="L64"/>
  <c r="M64"/>
  <c r="O64"/>
  <c r="P64"/>
  <c r="Q64"/>
  <c r="R64"/>
  <c r="S64"/>
  <c r="G65"/>
  <c r="H65"/>
  <c r="J65"/>
  <c r="K65"/>
  <c r="L65"/>
  <c r="M65"/>
  <c r="O65"/>
  <c r="P65"/>
  <c r="Q65"/>
  <c r="R65"/>
  <c r="S65"/>
  <c r="G66"/>
  <c r="H66"/>
  <c r="J66"/>
  <c r="K66"/>
  <c r="L66"/>
  <c r="M66"/>
  <c r="O66"/>
  <c r="P66"/>
  <c r="Q66"/>
  <c r="R66"/>
  <c r="S66"/>
  <c r="G67"/>
  <c r="H67"/>
  <c r="J67"/>
  <c r="K67"/>
  <c r="L67"/>
  <c r="M67"/>
  <c r="O67"/>
  <c r="P67"/>
  <c r="Q67"/>
  <c r="R67"/>
  <c r="S67"/>
  <c r="G68"/>
  <c r="H68"/>
  <c r="J68"/>
  <c r="K68"/>
  <c r="L68"/>
  <c r="M68"/>
  <c r="O68"/>
  <c r="P68"/>
  <c r="Q68"/>
  <c r="R68"/>
  <c r="S68"/>
  <c r="G69"/>
  <c r="H69"/>
  <c r="J69"/>
  <c r="K69"/>
  <c r="L69"/>
  <c r="M69"/>
  <c r="O69"/>
  <c r="P69"/>
  <c r="Q69"/>
  <c r="R69"/>
  <c r="S69"/>
  <c r="G70"/>
  <c r="H70"/>
  <c r="J70"/>
  <c r="K70"/>
  <c r="L70"/>
  <c r="M70"/>
  <c r="O70"/>
  <c r="P70"/>
  <c r="Q70"/>
  <c r="R70"/>
  <c r="S70"/>
  <c r="G71"/>
  <c r="H71"/>
  <c r="J71"/>
  <c r="K71"/>
  <c r="L71"/>
  <c r="M71"/>
  <c r="O71"/>
  <c r="P71"/>
  <c r="Q71"/>
  <c r="R71"/>
  <c r="S71"/>
  <c r="G72"/>
  <c r="H72"/>
  <c r="J72"/>
  <c r="K72"/>
  <c r="L72"/>
  <c r="M72"/>
  <c r="O72"/>
  <c r="P72"/>
  <c r="Q72"/>
  <c r="R72"/>
  <c r="S72"/>
  <c r="G73"/>
  <c r="H73"/>
  <c r="J73"/>
  <c r="K73"/>
  <c r="L73"/>
  <c r="M73"/>
  <c r="O73"/>
  <c r="P73"/>
  <c r="Q73"/>
  <c r="R73"/>
  <c r="S73"/>
  <c r="G74"/>
  <c r="H74"/>
  <c r="J74"/>
  <c r="K74"/>
  <c r="L74"/>
  <c r="M74"/>
  <c r="O74"/>
  <c r="P74"/>
  <c r="Q74"/>
  <c r="R74"/>
  <c r="S74"/>
  <c r="G75"/>
  <c r="H75"/>
  <c r="J75"/>
  <c r="K75"/>
  <c r="L75"/>
  <c r="M75"/>
  <c r="O75"/>
  <c r="P75"/>
  <c r="Q75"/>
  <c r="R75"/>
  <c r="S75"/>
  <c r="G76"/>
  <c r="H76"/>
  <c r="J76"/>
  <c r="K76"/>
  <c r="L76"/>
  <c r="M76"/>
  <c r="O76"/>
  <c r="P76"/>
  <c r="Q76"/>
  <c r="R76"/>
  <c r="S76"/>
  <c r="G77"/>
  <c r="H77"/>
  <c r="J77"/>
  <c r="K77"/>
  <c r="L77"/>
  <c r="M77"/>
  <c r="O77"/>
  <c r="P77"/>
  <c r="Q77"/>
  <c r="R77"/>
  <c r="S77"/>
  <c r="G78"/>
  <c r="H78"/>
  <c r="J78"/>
  <c r="K78"/>
  <c r="L78"/>
  <c r="M78"/>
  <c r="O78"/>
  <c r="P78"/>
  <c r="Q78"/>
  <c r="R78"/>
  <c r="S78"/>
  <c r="G79"/>
  <c r="H79"/>
  <c r="J79"/>
  <c r="K79"/>
  <c r="L79"/>
  <c r="M79"/>
  <c r="O79"/>
  <c r="P79"/>
  <c r="Q79"/>
  <c r="R79"/>
  <c r="S79"/>
  <c r="G80"/>
  <c r="H80"/>
  <c r="J80"/>
  <c r="K80"/>
  <c r="L80"/>
  <c r="M80"/>
  <c r="O80"/>
  <c r="P80"/>
  <c r="Q80"/>
  <c r="R80"/>
  <c r="S80"/>
  <c r="G81"/>
  <c r="H81"/>
  <c r="J81"/>
  <c r="K81"/>
  <c r="L81"/>
  <c r="M81"/>
  <c r="O81"/>
  <c r="P81"/>
  <c r="Q81"/>
  <c r="R81"/>
  <c r="S81"/>
  <c r="G82"/>
  <c r="H82"/>
  <c r="J82"/>
  <c r="K82"/>
  <c r="L82"/>
  <c r="M82"/>
  <c r="O82"/>
  <c r="P82"/>
  <c r="Q82"/>
  <c r="R82"/>
  <c r="S82"/>
  <c r="G83"/>
  <c r="H83"/>
  <c r="J83"/>
  <c r="K83"/>
  <c r="L83"/>
  <c r="M83"/>
  <c r="O83"/>
  <c r="P83"/>
  <c r="Q83"/>
  <c r="R83"/>
  <c r="S83"/>
  <c r="G84"/>
  <c r="H84"/>
  <c r="J84"/>
  <c r="K84"/>
  <c r="L84"/>
  <c r="M84"/>
  <c r="O84"/>
  <c r="P84"/>
  <c r="Q84"/>
  <c r="R84"/>
  <c r="S84"/>
  <c r="G85"/>
  <c r="H85"/>
  <c r="J85"/>
  <c r="K85"/>
  <c r="L85"/>
  <c r="M85"/>
  <c r="O85"/>
  <c r="P85"/>
  <c r="Q85"/>
  <c r="R85"/>
  <c r="S85"/>
  <c r="G86"/>
  <c r="H86"/>
  <c r="J86"/>
  <c r="K86"/>
  <c r="L86"/>
  <c r="M86"/>
  <c r="O86"/>
  <c r="P86"/>
  <c r="Q86"/>
  <c r="R86"/>
  <c r="S86"/>
  <c r="G87"/>
  <c r="H87"/>
  <c r="J87"/>
  <c r="K87"/>
  <c r="L87"/>
  <c r="M87"/>
  <c r="O87"/>
  <c r="P87"/>
  <c r="Q87"/>
  <c r="R87"/>
  <c r="S87"/>
  <c r="G88"/>
  <c r="H88"/>
  <c r="J88"/>
  <c r="K88"/>
  <c r="L88"/>
  <c r="M88"/>
  <c r="O88"/>
  <c r="P88"/>
  <c r="Q88"/>
  <c r="R88"/>
  <c r="S88"/>
  <c r="G89"/>
  <c r="H89"/>
  <c r="J89"/>
  <c r="K89"/>
  <c r="L89"/>
  <c r="M89"/>
  <c r="O89"/>
  <c r="P89"/>
  <c r="Q89"/>
  <c r="R89"/>
  <c r="S89"/>
  <c r="G90"/>
  <c r="H90"/>
  <c r="J90"/>
  <c r="K90"/>
  <c r="L90"/>
  <c r="M90"/>
  <c r="O90"/>
  <c r="P90"/>
  <c r="Q90"/>
  <c r="R90"/>
  <c r="S90"/>
  <c r="G91"/>
  <c r="H91"/>
  <c r="J91"/>
  <c r="K91"/>
  <c r="L91"/>
  <c r="M91"/>
  <c r="O91"/>
  <c r="P91"/>
  <c r="Q91"/>
  <c r="R91"/>
  <c r="S91"/>
  <c r="G92"/>
  <c r="H92"/>
  <c r="J92"/>
  <c r="K92"/>
  <c r="L92"/>
  <c r="M92"/>
  <c r="O92"/>
  <c r="P92"/>
  <c r="Q92"/>
  <c r="R92"/>
  <c r="S92"/>
  <c r="G93"/>
  <c r="H93"/>
  <c r="J93"/>
  <c r="K93"/>
  <c r="L93"/>
  <c r="M93"/>
  <c r="O93"/>
  <c r="P93"/>
  <c r="Q93"/>
  <c r="R93"/>
  <c r="S93"/>
  <c r="G94"/>
  <c r="H94"/>
  <c r="J94"/>
  <c r="K94"/>
  <c r="L94"/>
  <c r="M94"/>
  <c r="O94"/>
  <c r="P94"/>
  <c r="Q94"/>
  <c r="R94"/>
  <c r="S94"/>
  <c r="G95"/>
  <c r="H95"/>
  <c r="J95"/>
  <c r="K95"/>
  <c r="L95"/>
  <c r="M95"/>
  <c r="O95"/>
  <c r="P95"/>
  <c r="Q95"/>
  <c r="R95"/>
  <c r="S95"/>
  <c r="G96"/>
  <c r="H96"/>
  <c r="J96"/>
  <c r="K96"/>
  <c r="L96"/>
  <c r="M96"/>
  <c r="O96"/>
  <c r="P96"/>
  <c r="Q96"/>
  <c r="R96"/>
  <c r="S96"/>
  <c r="G97"/>
  <c r="H97"/>
  <c r="J97"/>
  <c r="K97"/>
  <c r="L97"/>
  <c r="M97"/>
  <c r="O97"/>
  <c r="P97"/>
  <c r="Q97"/>
  <c r="R97"/>
  <c r="S97"/>
  <c r="G98"/>
  <c r="H98"/>
  <c r="J98"/>
  <c r="K98"/>
  <c r="L98"/>
  <c r="M98"/>
  <c r="O98"/>
  <c r="P98"/>
  <c r="Q98"/>
  <c r="R98"/>
  <c r="S98"/>
  <c r="G99"/>
  <c r="H99"/>
  <c r="J99"/>
  <c r="K99"/>
  <c r="L99"/>
  <c r="M99"/>
  <c r="O99"/>
  <c r="P99"/>
  <c r="Q99"/>
  <c r="R99"/>
  <c r="S99"/>
  <c r="G100"/>
  <c r="H100"/>
  <c r="J100"/>
  <c r="K100"/>
  <c r="L100"/>
  <c r="M100"/>
  <c r="O100"/>
  <c r="P100"/>
  <c r="Q100"/>
  <c r="R100"/>
  <c r="S100"/>
  <c r="G101"/>
  <c r="H101"/>
  <c r="J101"/>
  <c r="K101"/>
  <c r="L101"/>
  <c r="M101"/>
  <c r="O101"/>
  <c r="P101"/>
  <c r="Q101"/>
  <c r="R101"/>
  <c r="S101"/>
  <c r="G102"/>
  <c r="H102"/>
  <c r="J102"/>
  <c r="K102"/>
  <c r="L102"/>
  <c r="M102"/>
  <c r="O102"/>
  <c r="P102"/>
  <c r="Q102"/>
  <c r="R102"/>
  <c r="S102"/>
  <c r="G103"/>
  <c r="H103"/>
  <c r="J103"/>
  <c r="K103"/>
  <c r="L103"/>
  <c r="M103"/>
  <c r="O103"/>
  <c r="P103"/>
  <c r="Q103"/>
  <c r="R103"/>
  <c r="S103"/>
  <c r="G104"/>
  <c r="H104"/>
  <c r="J104"/>
  <c r="K104"/>
  <c r="L104"/>
  <c r="M104"/>
  <c r="O104"/>
  <c r="P104"/>
  <c r="Q104"/>
  <c r="R104"/>
  <c r="S104"/>
  <c r="G105"/>
  <c r="H105"/>
  <c r="J105"/>
  <c r="K105"/>
  <c r="L105"/>
  <c r="M105"/>
  <c r="O105"/>
  <c r="P105"/>
  <c r="Q105"/>
  <c r="R105"/>
  <c r="S105"/>
  <c r="G106"/>
  <c r="H106"/>
  <c r="J106"/>
  <c r="K106"/>
  <c r="L106"/>
  <c r="M106"/>
  <c r="O106"/>
  <c r="P106"/>
  <c r="Q106"/>
  <c r="R106"/>
  <c r="S106"/>
  <c r="G107"/>
  <c r="H107"/>
  <c r="J107"/>
  <c r="K107"/>
  <c r="L107"/>
  <c r="M107"/>
  <c r="O107"/>
  <c r="P107"/>
  <c r="Q107"/>
  <c r="R107"/>
  <c r="S107"/>
  <c r="G108"/>
  <c r="H108"/>
  <c r="J108"/>
  <c r="K108"/>
  <c r="L108"/>
  <c r="M108"/>
  <c r="O108"/>
  <c r="P108"/>
  <c r="Q108"/>
  <c r="R108"/>
  <c r="S108"/>
  <c r="G109"/>
  <c r="H109"/>
  <c r="J109"/>
  <c r="K109"/>
  <c r="L109"/>
  <c r="M109"/>
  <c r="O109"/>
  <c r="P109"/>
  <c r="Q109"/>
  <c r="R109"/>
  <c r="S109"/>
  <c r="G110"/>
  <c r="H110"/>
  <c r="J110"/>
  <c r="K110"/>
  <c r="L110"/>
  <c r="M110"/>
  <c r="O110"/>
  <c r="P110"/>
  <c r="Q110"/>
  <c r="R110"/>
  <c r="S110"/>
  <c r="G111"/>
  <c r="H111"/>
  <c r="J111"/>
  <c r="K111"/>
  <c r="L111"/>
  <c r="M111"/>
  <c r="O111"/>
  <c r="P111"/>
  <c r="Q111"/>
  <c r="R111"/>
  <c r="S111"/>
  <c r="G112"/>
  <c r="H112"/>
  <c r="J112"/>
  <c r="K112"/>
  <c r="L112"/>
  <c r="M112"/>
  <c r="O112"/>
  <c r="P112"/>
  <c r="Q112"/>
  <c r="R112"/>
  <c r="S112"/>
  <c r="G113"/>
  <c r="H113"/>
  <c r="J113"/>
  <c r="K113"/>
  <c r="L113"/>
  <c r="M113"/>
  <c r="O113"/>
  <c r="P113"/>
  <c r="Q113"/>
  <c r="R113"/>
  <c r="S113"/>
  <c r="G114"/>
  <c r="H114"/>
  <c r="J114"/>
  <c r="K114"/>
  <c r="L114"/>
  <c r="M114"/>
  <c r="O114"/>
  <c r="P114"/>
  <c r="Q114"/>
  <c r="R114"/>
  <c r="S114"/>
  <c r="G115"/>
  <c r="H115"/>
  <c r="J115"/>
  <c r="K115"/>
  <c r="L115"/>
  <c r="M115"/>
  <c r="O115"/>
  <c r="P115"/>
  <c r="Q115"/>
  <c r="R115"/>
  <c r="S115"/>
  <c r="G116"/>
  <c r="H116"/>
  <c r="J116"/>
  <c r="K116"/>
  <c r="L116"/>
  <c r="M116"/>
  <c r="O116"/>
  <c r="P116"/>
  <c r="Q116"/>
  <c r="R116"/>
  <c r="S116"/>
  <c r="G117"/>
  <c r="H117"/>
  <c r="J117"/>
  <c r="K117"/>
  <c r="L117"/>
  <c r="M117"/>
  <c r="O117"/>
  <c r="P117"/>
  <c r="Q117"/>
  <c r="R117"/>
  <c r="S117"/>
  <c r="G118"/>
  <c r="H118"/>
  <c r="J118"/>
  <c r="K118"/>
  <c r="L118"/>
  <c r="M118"/>
  <c r="O118"/>
  <c r="P118"/>
  <c r="Q118"/>
  <c r="R118"/>
  <c r="S118"/>
  <c r="G119"/>
  <c r="H119"/>
  <c r="J119"/>
  <c r="K119"/>
  <c r="L119"/>
  <c r="M119"/>
  <c r="O119"/>
  <c r="P119"/>
  <c r="Q119"/>
  <c r="R119"/>
  <c r="S119"/>
  <c r="G120"/>
  <c r="H120"/>
  <c r="J120"/>
  <c r="K120"/>
  <c r="L120"/>
  <c r="M120"/>
  <c r="O120"/>
  <c r="P120"/>
  <c r="Q120"/>
  <c r="R120"/>
  <c r="S120"/>
  <c r="G121"/>
  <c r="H121"/>
  <c r="J121"/>
  <c r="K121"/>
  <c r="L121"/>
  <c r="M121"/>
  <c r="O121"/>
  <c r="P121"/>
  <c r="Q121"/>
  <c r="R121"/>
  <c r="S121"/>
  <c r="G122"/>
  <c r="H122"/>
  <c r="J122"/>
  <c r="K122"/>
  <c r="L122"/>
  <c r="M122"/>
  <c r="O122"/>
  <c r="P122"/>
  <c r="Q122"/>
  <c r="R122"/>
  <c r="S122"/>
  <c r="G123"/>
  <c r="H123"/>
  <c r="J123"/>
  <c r="K123"/>
  <c r="L123"/>
  <c r="M123"/>
  <c r="O123"/>
  <c r="P123"/>
  <c r="Q123"/>
  <c r="R123"/>
  <c r="S123"/>
  <c r="G124"/>
  <c r="H124"/>
  <c r="J124"/>
  <c r="K124"/>
  <c r="L124"/>
  <c r="M124"/>
  <c r="O124"/>
  <c r="P124"/>
  <c r="Q124"/>
  <c r="R124"/>
  <c r="S124"/>
  <c r="G125"/>
  <c r="H125"/>
  <c r="J125"/>
  <c r="K125"/>
  <c r="L125"/>
  <c r="M125"/>
  <c r="O125"/>
  <c r="P125"/>
  <c r="Q125"/>
  <c r="R125"/>
  <c r="S125"/>
  <c r="G126"/>
  <c r="H126"/>
  <c r="J126"/>
  <c r="K126"/>
  <c r="L126"/>
  <c r="M126"/>
  <c r="O126"/>
  <c r="P126"/>
  <c r="Q126"/>
  <c r="R126"/>
  <c r="S126"/>
  <c r="G127"/>
  <c r="H127"/>
  <c r="J127"/>
  <c r="K127"/>
  <c r="L127"/>
  <c r="M127"/>
  <c r="O127"/>
  <c r="P127"/>
  <c r="Q127"/>
  <c r="R127"/>
  <c r="S127"/>
  <c r="G128"/>
  <c r="H128"/>
  <c r="J128"/>
  <c r="K128"/>
  <c r="L128"/>
  <c r="M128"/>
  <c r="O128"/>
  <c r="P128"/>
  <c r="Q128"/>
  <c r="R128"/>
  <c r="S128"/>
  <c r="G129"/>
  <c r="H129"/>
  <c r="J129"/>
  <c r="K129"/>
  <c r="L129"/>
  <c r="M129"/>
  <c r="O129"/>
  <c r="P129"/>
  <c r="Q129"/>
  <c r="R129"/>
  <c r="S129"/>
  <c r="G130"/>
  <c r="H130"/>
  <c r="J130"/>
  <c r="K130"/>
  <c r="L130"/>
  <c r="M130"/>
  <c r="O130"/>
  <c r="P130"/>
  <c r="Q130"/>
  <c r="R130"/>
  <c r="S130"/>
  <c r="G131"/>
  <c r="H131"/>
  <c r="J131"/>
  <c r="K131"/>
  <c r="L131"/>
  <c r="M131"/>
  <c r="O131"/>
  <c r="P131"/>
  <c r="Q131"/>
  <c r="R131"/>
  <c r="S131"/>
  <c r="G132"/>
  <c r="H132"/>
  <c r="J132"/>
  <c r="K132"/>
  <c r="L132"/>
  <c r="M132"/>
  <c r="O132"/>
  <c r="P132"/>
  <c r="Q132"/>
  <c r="R132"/>
  <c r="S132"/>
  <c r="G133"/>
  <c r="H133"/>
  <c r="J133"/>
  <c r="K133"/>
  <c r="L133"/>
  <c r="M133"/>
  <c r="O133"/>
  <c r="P133"/>
  <c r="Q133"/>
  <c r="R133"/>
  <c r="S133"/>
  <c r="G134"/>
  <c r="H134"/>
  <c r="J134"/>
  <c r="K134"/>
  <c r="L134"/>
  <c r="M134"/>
  <c r="O134"/>
  <c r="P134"/>
  <c r="Q134"/>
  <c r="R134"/>
  <c r="S134"/>
  <c r="G135"/>
  <c r="H135"/>
  <c r="J135"/>
  <c r="K135"/>
  <c r="L135"/>
  <c r="M135"/>
  <c r="O135"/>
  <c r="P135"/>
  <c r="Q135"/>
  <c r="R135"/>
  <c r="S135"/>
  <c r="G136"/>
  <c r="H136"/>
  <c r="J136"/>
  <c r="K136"/>
  <c r="L136"/>
  <c r="M136"/>
  <c r="O136"/>
  <c r="P136"/>
  <c r="Q136"/>
  <c r="R136"/>
  <c r="S136"/>
  <c r="G137"/>
  <c r="H137"/>
  <c r="J137"/>
  <c r="K137"/>
  <c r="L137"/>
  <c r="M137"/>
  <c r="O137"/>
  <c r="P137"/>
  <c r="Q137"/>
  <c r="R137"/>
  <c r="S137"/>
  <c r="G138"/>
  <c r="H138"/>
  <c r="J138"/>
  <c r="K138"/>
  <c r="L138"/>
  <c r="M138"/>
  <c r="O138"/>
  <c r="P138"/>
  <c r="Q138"/>
  <c r="R138"/>
  <c r="S138"/>
  <c r="G139"/>
  <c r="H139"/>
  <c r="J139"/>
  <c r="K139"/>
  <c r="L139"/>
  <c r="M139"/>
  <c r="O139"/>
  <c r="P139"/>
  <c r="Q139"/>
  <c r="R139"/>
  <c r="S139"/>
  <c r="G140"/>
  <c r="H140"/>
  <c r="J140"/>
  <c r="K140"/>
  <c r="L140"/>
  <c r="M140"/>
  <c r="O140"/>
  <c r="P140"/>
  <c r="Q140"/>
  <c r="R140"/>
  <c r="S140"/>
  <c r="G141"/>
  <c r="H141"/>
  <c r="J141"/>
  <c r="K141"/>
  <c r="L141"/>
  <c r="M141"/>
  <c r="O141"/>
  <c r="P141"/>
  <c r="Q141"/>
  <c r="R141"/>
  <c r="S141"/>
  <c r="G142"/>
  <c r="H142"/>
  <c r="J142"/>
  <c r="K142"/>
  <c r="L142"/>
  <c r="M142"/>
  <c r="O142"/>
  <c r="P142"/>
  <c r="Q142"/>
  <c r="R142"/>
  <c r="S142"/>
  <c r="G143"/>
  <c r="H143"/>
  <c r="J143"/>
  <c r="K143"/>
  <c r="L143"/>
  <c r="M143"/>
  <c r="O143"/>
  <c r="P143"/>
  <c r="Q143"/>
  <c r="R143"/>
  <c r="S143"/>
  <c r="G144"/>
  <c r="H144"/>
  <c r="J144"/>
  <c r="K144"/>
  <c r="L144"/>
  <c r="M144"/>
  <c r="O144"/>
  <c r="P144"/>
  <c r="Q144"/>
  <c r="R144"/>
  <c r="S144"/>
  <c r="G145"/>
  <c r="H145"/>
  <c r="J145"/>
  <c r="K145"/>
  <c r="L145"/>
  <c r="M145"/>
  <c r="O145"/>
  <c r="P145"/>
  <c r="Q145"/>
  <c r="R145"/>
  <c r="S145"/>
  <c r="G146"/>
  <c r="H146"/>
  <c r="J146"/>
  <c r="K146"/>
  <c r="L146"/>
  <c r="M146"/>
  <c r="O146"/>
  <c r="P146"/>
  <c r="Q146"/>
  <c r="R146"/>
  <c r="S146"/>
  <c r="G147"/>
  <c r="H147"/>
  <c r="J147"/>
  <c r="K147"/>
  <c r="L147"/>
  <c r="M147"/>
  <c r="O147"/>
  <c r="P147"/>
  <c r="Q147"/>
  <c r="R147"/>
  <c r="S147"/>
  <c r="G148"/>
  <c r="H148"/>
  <c r="J148"/>
  <c r="K148"/>
  <c r="L148"/>
  <c r="M148"/>
  <c r="O148"/>
  <c r="P148"/>
  <c r="Q148"/>
  <c r="R148"/>
  <c r="S148"/>
  <c r="G149"/>
  <c r="H149"/>
  <c r="J149"/>
  <c r="K149"/>
  <c r="L149"/>
  <c r="M149"/>
  <c r="O149"/>
  <c r="P149"/>
  <c r="Q149"/>
  <c r="R149"/>
  <c r="S149"/>
  <c r="G150"/>
  <c r="H150"/>
  <c r="J150"/>
  <c r="K150"/>
  <c r="L150"/>
  <c r="M150"/>
  <c r="O150"/>
  <c r="P150"/>
  <c r="Q150"/>
  <c r="R150"/>
  <c r="S150"/>
  <c r="G151"/>
  <c r="H151"/>
  <c r="J151"/>
  <c r="K151"/>
  <c r="L151"/>
  <c r="M151"/>
  <c r="O151"/>
  <c r="P151"/>
  <c r="Q151"/>
  <c r="R151"/>
  <c r="S151"/>
  <c r="G152"/>
  <c r="H152"/>
  <c r="J152"/>
  <c r="K152"/>
  <c r="L152"/>
  <c r="M152"/>
  <c r="O152"/>
  <c r="P152"/>
  <c r="Q152"/>
  <c r="R152"/>
  <c r="S152"/>
  <c r="G153"/>
  <c r="H153"/>
  <c r="J153"/>
  <c r="K153"/>
  <c r="L153"/>
  <c r="M153"/>
  <c r="O153"/>
  <c r="P153"/>
  <c r="Q153"/>
  <c r="R153"/>
  <c r="S153"/>
  <c r="G154"/>
  <c r="H154"/>
  <c r="J154"/>
  <c r="K154"/>
  <c r="L154"/>
  <c r="M154"/>
  <c r="O154"/>
  <c r="P154"/>
  <c r="Q154"/>
  <c r="R154"/>
  <c r="S154"/>
  <c r="G155"/>
  <c r="H155"/>
  <c r="J155"/>
  <c r="K155"/>
  <c r="L155"/>
  <c r="M155"/>
  <c r="O155"/>
  <c r="P155"/>
  <c r="Q155"/>
  <c r="R155"/>
  <c r="S155"/>
  <c r="G156"/>
  <c r="H156"/>
  <c r="J156"/>
  <c r="K156"/>
  <c r="L156"/>
  <c r="M156"/>
  <c r="O156"/>
  <c r="P156"/>
  <c r="Q156"/>
  <c r="R156"/>
  <c r="S156"/>
  <c r="G157"/>
  <c r="H157"/>
  <c r="J157"/>
  <c r="K157"/>
  <c r="L157"/>
  <c r="M157"/>
  <c r="O157"/>
  <c r="P157"/>
  <c r="Q157"/>
  <c r="R157"/>
  <c r="S157"/>
  <c r="G158"/>
  <c r="H158"/>
  <c r="J158"/>
  <c r="K158"/>
  <c r="L158"/>
  <c r="M158"/>
  <c r="O158"/>
  <c r="P158"/>
  <c r="Q158"/>
  <c r="R158"/>
  <c r="S158"/>
  <c r="G159"/>
  <c r="H159"/>
  <c r="J159"/>
  <c r="K159"/>
  <c r="L159"/>
  <c r="M159"/>
  <c r="O159"/>
  <c r="P159"/>
  <c r="Q159"/>
  <c r="R159"/>
  <c r="S159"/>
  <c r="G160"/>
  <c r="H160"/>
  <c r="J160"/>
  <c r="K160"/>
  <c r="L160"/>
  <c r="M160"/>
  <c r="O160"/>
  <c r="P160"/>
  <c r="Q160"/>
  <c r="R160"/>
  <c r="S160"/>
  <c r="G161"/>
  <c r="H161"/>
  <c r="J161"/>
  <c r="K161"/>
  <c r="L161"/>
  <c r="M161"/>
  <c r="O161"/>
  <c r="P161"/>
  <c r="Q161"/>
  <c r="R161"/>
  <c r="S161"/>
  <c r="G162"/>
  <c r="H162"/>
  <c r="J162"/>
  <c r="K162"/>
  <c r="L162"/>
  <c r="M162"/>
  <c r="O162"/>
  <c r="P162"/>
  <c r="Q162"/>
  <c r="R162"/>
  <c r="S162"/>
  <c r="G163"/>
  <c r="H163"/>
  <c r="J163"/>
  <c r="K163"/>
  <c r="L163"/>
  <c r="M163"/>
  <c r="O163"/>
  <c r="P163"/>
  <c r="Q163"/>
  <c r="R163"/>
  <c r="S163"/>
  <c r="G164"/>
  <c r="H164"/>
  <c r="J164"/>
  <c r="K164"/>
  <c r="L164"/>
  <c r="M164"/>
  <c r="O164"/>
  <c r="P164"/>
  <c r="Q164"/>
  <c r="R164"/>
  <c r="S164"/>
  <c r="G165"/>
  <c r="H165"/>
  <c r="J165"/>
  <c r="K165"/>
  <c r="L165"/>
  <c r="M165"/>
  <c r="O165"/>
  <c r="P165"/>
  <c r="Q165"/>
  <c r="R165"/>
  <c r="S165"/>
  <c r="G166"/>
  <c r="H166"/>
  <c r="J166"/>
  <c r="K166"/>
  <c r="L166"/>
  <c r="M166"/>
  <c r="O166"/>
  <c r="P166"/>
  <c r="Q166"/>
  <c r="R166"/>
  <c r="S166"/>
  <c r="G167"/>
  <c r="H167"/>
  <c r="J167"/>
  <c r="K167"/>
  <c r="L167"/>
  <c r="M167"/>
  <c r="O167"/>
  <c r="P167"/>
  <c r="Q167"/>
  <c r="R167"/>
  <c r="S167"/>
  <c r="G168"/>
  <c r="H168"/>
  <c r="J168"/>
  <c r="K168"/>
  <c r="L168"/>
  <c r="M168"/>
  <c r="O168"/>
  <c r="P168"/>
  <c r="Q168"/>
  <c r="R168"/>
  <c r="S168"/>
  <c r="G169"/>
  <c r="H169"/>
  <c r="J169"/>
  <c r="K169"/>
  <c r="L169"/>
  <c r="M169"/>
  <c r="O169"/>
  <c r="P169"/>
  <c r="Q169"/>
  <c r="R169"/>
  <c r="S169"/>
  <c r="G170"/>
  <c r="H170"/>
  <c r="J170"/>
  <c r="K170"/>
  <c r="L170"/>
  <c r="M170"/>
  <c r="O170"/>
  <c r="P170"/>
  <c r="Q170"/>
  <c r="R170"/>
  <c r="S170"/>
  <c r="G171"/>
  <c r="H171"/>
  <c r="J171"/>
  <c r="K171"/>
  <c r="L171"/>
  <c r="M171"/>
  <c r="O171"/>
  <c r="P171"/>
  <c r="Q171"/>
  <c r="R171"/>
  <c r="S171"/>
  <c r="G172"/>
  <c r="H172"/>
  <c r="J172"/>
  <c r="K172"/>
  <c r="L172"/>
  <c r="M172"/>
  <c r="O172"/>
  <c r="P172"/>
  <c r="Q172"/>
  <c r="R172"/>
  <c r="S172"/>
  <c r="G173"/>
  <c r="H173"/>
  <c r="J173"/>
  <c r="K173"/>
  <c r="L173"/>
  <c r="M173"/>
  <c r="O173"/>
  <c r="P173"/>
  <c r="Q173"/>
  <c r="R173"/>
  <c r="S173"/>
  <c r="G174"/>
  <c r="H174"/>
  <c r="J174"/>
  <c r="K174"/>
  <c r="L174"/>
  <c r="M174"/>
  <c r="O174"/>
  <c r="P174"/>
  <c r="Q174"/>
  <c r="R174"/>
  <c r="S174"/>
  <c r="G175"/>
  <c r="H175"/>
  <c r="J175"/>
  <c r="K175"/>
  <c r="L175"/>
  <c r="M175"/>
  <c r="O175"/>
  <c r="P175"/>
  <c r="Q175"/>
  <c r="R175"/>
  <c r="S175"/>
  <c r="G176"/>
  <c r="H176"/>
  <c r="J176"/>
  <c r="K176"/>
  <c r="L176"/>
  <c r="M176"/>
  <c r="O176"/>
  <c r="P176"/>
  <c r="Q176"/>
  <c r="R176"/>
  <c r="S176"/>
  <c r="G177"/>
  <c r="H177"/>
  <c r="J177"/>
  <c r="K177"/>
  <c r="L177"/>
  <c r="M177"/>
  <c r="O177"/>
  <c r="P177"/>
  <c r="Q177"/>
  <c r="R177"/>
  <c r="S177"/>
  <c r="G178"/>
  <c r="H178"/>
  <c r="J178"/>
  <c r="K178"/>
  <c r="L178"/>
  <c r="M178"/>
  <c r="O178"/>
  <c r="P178"/>
  <c r="Q178"/>
  <c r="R178"/>
  <c r="S178"/>
  <c r="G179"/>
  <c r="H179"/>
  <c r="J179"/>
  <c r="K179"/>
  <c r="L179"/>
  <c r="M179"/>
  <c r="O179"/>
  <c r="P179"/>
  <c r="Q179"/>
  <c r="R179"/>
  <c r="S179"/>
  <c r="G180"/>
  <c r="H180"/>
  <c r="J180"/>
  <c r="K180"/>
  <c r="L180"/>
  <c r="M180"/>
  <c r="O180"/>
  <c r="P180"/>
  <c r="Q180"/>
  <c r="R180"/>
  <c r="S180"/>
  <c r="G181"/>
  <c r="H181"/>
  <c r="J181"/>
  <c r="K181"/>
  <c r="L181"/>
  <c r="M181"/>
  <c r="O181"/>
  <c r="P181"/>
  <c r="Q181"/>
  <c r="R181"/>
  <c r="S181"/>
  <c r="G182"/>
  <c r="H182"/>
  <c r="J182"/>
  <c r="K182"/>
  <c r="L182"/>
  <c r="M182"/>
  <c r="O182"/>
  <c r="P182"/>
  <c r="Q182"/>
  <c r="R182"/>
  <c r="S182"/>
  <c r="G183"/>
  <c r="H183"/>
  <c r="J183"/>
  <c r="K183"/>
  <c r="L183"/>
  <c r="M183"/>
  <c r="O183"/>
  <c r="P183"/>
  <c r="Q183"/>
  <c r="R183"/>
  <c r="S183"/>
  <c r="G184"/>
  <c r="H184"/>
  <c r="J184"/>
  <c r="K184"/>
  <c r="L184"/>
  <c r="M184"/>
  <c r="O184"/>
  <c r="P184"/>
  <c r="Q184"/>
  <c r="R184"/>
  <c r="S184"/>
  <c r="G185"/>
  <c r="H185"/>
  <c r="J185"/>
  <c r="K185"/>
  <c r="L185"/>
  <c r="M185"/>
  <c r="O185"/>
  <c r="P185"/>
  <c r="Q185"/>
  <c r="R185"/>
  <c r="S185"/>
  <c r="G186"/>
  <c r="H186"/>
  <c r="J186"/>
  <c r="K186"/>
  <c r="L186"/>
  <c r="M186"/>
  <c r="O186"/>
  <c r="P186"/>
  <c r="Q186"/>
  <c r="R186"/>
  <c r="S186"/>
  <c r="G187"/>
  <c r="H187"/>
  <c r="J187"/>
  <c r="K187"/>
  <c r="L187"/>
  <c r="M187"/>
  <c r="O187"/>
  <c r="P187"/>
  <c r="Q187"/>
  <c r="R187"/>
  <c r="S187"/>
  <c r="G188"/>
  <c r="H188"/>
  <c r="J188"/>
  <c r="K188"/>
  <c r="L188"/>
  <c r="M188"/>
  <c r="O188"/>
  <c r="P188"/>
  <c r="Q188"/>
  <c r="R188"/>
  <c r="S188"/>
  <c r="G189"/>
  <c r="H189"/>
  <c r="J189"/>
  <c r="K189"/>
  <c r="L189"/>
  <c r="M189"/>
  <c r="O189"/>
  <c r="P189"/>
  <c r="Q189"/>
  <c r="R189"/>
  <c r="S189"/>
  <c r="G190"/>
  <c r="H190"/>
  <c r="J190"/>
  <c r="K190"/>
  <c r="L190"/>
  <c r="M190"/>
  <c r="O190"/>
  <c r="P190"/>
  <c r="Q190"/>
  <c r="R190"/>
  <c r="S190"/>
  <c r="G191"/>
  <c r="H191"/>
  <c r="J191"/>
  <c r="K191"/>
  <c r="L191"/>
  <c r="M191"/>
  <c r="O191"/>
  <c r="P191"/>
  <c r="Q191"/>
  <c r="R191"/>
  <c r="S191"/>
  <c r="G192"/>
  <c r="H192"/>
  <c r="J192"/>
  <c r="K192"/>
  <c r="L192"/>
  <c r="M192"/>
  <c r="O192"/>
  <c r="P192"/>
  <c r="Q192"/>
  <c r="R192"/>
  <c r="S192"/>
  <c r="G193"/>
  <c r="H193"/>
  <c r="J193"/>
  <c r="K193"/>
  <c r="L193"/>
  <c r="M193"/>
  <c r="O193"/>
  <c r="P193"/>
  <c r="Q193"/>
  <c r="R193"/>
  <c r="S193"/>
  <c r="G194"/>
  <c r="H194"/>
  <c r="J194"/>
  <c r="K194"/>
  <c r="L194"/>
  <c r="M194"/>
  <c r="O194"/>
  <c r="P194"/>
  <c r="Q194"/>
  <c r="R194"/>
  <c r="S194"/>
  <c r="G195"/>
  <c r="H195"/>
  <c r="J195"/>
  <c r="K195"/>
  <c r="L195"/>
  <c r="M195"/>
  <c r="O195"/>
  <c r="P195"/>
  <c r="Q195"/>
  <c r="R195"/>
  <c r="S195"/>
  <c r="G196"/>
  <c r="H196"/>
  <c r="J196"/>
  <c r="K196"/>
  <c r="L196"/>
  <c r="M196"/>
  <c r="O196"/>
  <c r="P196"/>
  <c r="Q196"/>
  <c r="R196"/>
  <c r="S196"/>
  <c r="G197"/>
  <c r="H197"/>
  <c r="J197"/>
  <c r="K197"/>
  <c r="L197"/>
  <c r="M197"/>
  <c r="O197"/>
  <c r="P197"/>
  <c r="Q197"/>
  <c r="R197"/>
  <c r="S197"/>
  <c r="G198"/>
  <c r="H198"/>
  <c r="J198"/>
  <c r="K198"/>
  <c r="L198"/>
  <c r="M198"/>
  <c r="O198"/>
  <c r="P198"/>
  <c r="Q198"/>
  <c r="R198"/>
  <c r="S198"/>
  <c r="G199"/>
  <c r="H199"/>
  <c r="J199"/>
  <c r="K199"/>
  <c r="L199"/>
  <c r="M199"/>
  <c r="O199"/>
  <c r="P199"/>
  <c r="Q199"/>
  <c r="R199"/>
  <c r="S199"/>
  <c r="G200"/>
  <c r="H200"/>
  <c r="J200"/>
  <c r="K200"/>
  <c r="L200"/>
  <c r="M200"/>
  <c r="O200"/>
  <c r="P200"/>
  <c r="Q200"/>
  <c r="R200"/>
  <c r="S200"/>
  <c r="G201"/>
  <c r="H201"/>
  <c r="J201"/>
  <c r="K201"/>
  <c r="L201"/>
  <c r="M201"/>
  <c r="O201"/>
  <c r="P201"/>
  <c r="Q201"/>
  <c r="R201"/>
  <c r="S201"/>
  <c r="G202"/>
  <c r="H202"/>
  <c r="J202"/>
  <c r="K202"/>
  <c r="L202"/>
  <c r="M202"/>
  <c r="O202"/>
  <c r="P202"/>
  <c r="Q202"/>
  <c r="R202"/>
  <c r="S202"/>
  <c r="G203"/>
  <c r="H203"/>
  <c r="J203"/>
  <c r="K203"/>
  <c r="L203"/>
  <c r="M203"/>
  <c r="O203"/>
  <c r="P203"/>
  <c r="Q203"/>
  <c r="R203"/>
  <c r="S203"/>
  <c r="G204"/>
  <c r="H204"/>
  <c r="J204"/>
  <c r="K204"/>
  <c r="L204"/>
  <c r="M204"/>
  <c r="O204"/>
  <c r="P204"/>
  <c r="Q204"/>
  <c r="R204"/>
  <c r="S204"/>
  <c r="G205"/>
  <c r="H205"/>
  <c r="J205"/>
  <c r="K205"/>
  <c r="L205"/>
  <c r="M205"/>
  <c r="O205"/>
  <c r="P205"/>
  <c r="Q205"/>
  <c r="R205"/>
  <c r="S205"/>
  <c r="G206"/>
  <c r="H206"/>
  <c r="J206"/>
  <c r="K206"/>
  <c r="L206"/>
  <c r="M206"/>
  <c r="O206"/>
  <c r="P206"/>
  <c r="Q206"/>
  <c r="R206"/>
  <c r="S206"/>
  <c r="G207"/>
  <c r="H207"/>
  <c r="J207"/>
  <c r="K207"/>
  <c r="L207"/>
  <c r="M207"/>
  <c r="O207"/>
  <c r="P207"/>
  <c r="Q207"/>
  <c r="R207"/>
  <c r="S207"/>
  <c r="G208"/>
  <c r="H208"/>
  <c r="J208"/>
  <c r="K208"/>
  <c r="L208"/>
  <c r="M208"/>
  <c r="O208"/>
  <c r="P208"/>
  <c r="Q208"/>
  <c r="R208"/>
  <c r="S208"/>
  <c r="G209"/>
  <c r="H209"/>
  <c r="J209"/>
  <c r="K209"/>
  <c r="L209"/>
  <c r="M209"/>
  <c r="O209"/>
  <c r="P209"/>
  <c r="Q209"/>
  <c r="R209"/>
  <c r="S209"/>
  <c r="G210"/>
  <c r="H210"/>
  <c r="J210"/>
  <c r="K210"/>
  <c r="L210"/>
  <c r="M210"/>
  <c r="O210"/>
  <c r="P210"/>
  <c r="Q210"/>
  <c r="R210"/>
  <c r="S210"/>
  <c r="G211"/>
  <c r="H211"/>
  <c r="J211"/>
  <c r="K211"/>
  <c r="L211"/>
  <c r="M211"/>
  <c r="O211"/>
  <c r="P211"/>
  <c r="Q211"/>
  <c r="R211"/>
  <c r="S211"/>
  <c r="G212"/>
  <c r="H212"/>
  <c r="J212"/>
  <c r="K212"/>
  <c r="L212"/>
  <c r="M212"/>
  <c r="O212"/>
  <c r="P212"/>
  <c r="Q212"/>
  <c r="R212"/>
  <c r="S212"/>
  <c r="G213"/>
  <c r="H213"/>
  <c r="J213"/>
  <c r="K213"/>
  <c r="L213"/>
  <c r="M213"/>
  <c r="O213"/>
  <c r="P213"/>
  <c r="Q213"/>
  <c r="R213"/>
  <c r="S213"/>
  <c r="G214"/>
  <c r="H214"/>
  <c r="J214"/>
  <c r="K214"/>
  <c r="L214"/>
  <c r="M214"/>
  <c r="O214"/>
  <c r="P214"/>
  <c r="Q214"/>
  <c r="R214"/>
  <c r="S214"/>
  <c r="G215"/>
  <c r="H215"/>
  <c r="J215"/>
  <c r="K215"/>
  <c r="L215"/>
  <c r="M215"/>
  <c r="O215"/>
  <c r="P215"/>
  <c r="Q215"/>
  <c r="R215"/>
  <c r="S215"/>
  <c r="G216"/>
  <c r="H216"/>
  <c r="J216"/>
  <c r="K216"/>
  <c r="L216"/>
  <c r="M216"/>
  <c r="O216"/>
  <c r="P216"/>
  <c r="Q216"/>
  <c r="R216"/>
  <c r="S216"/>
  <c r="G217"/>
  <c r="H217"/>
  <c r="J217"/>
  <c r="K217"/>
  <c r="L217"/>
  <c r="M217"/>
  <c r="O217"/>
  <c r="P217"/>
  <c r="Q217"/>
  <c r="R217"/>
  <c r="S217"/>
  <c r="S6"/>
  <c r="R6"/>
  <c r="Q6"/>
  <c r="P6"/>
  <c r="O6"/>
  <c r="M6"/>
  <c r="L6"/>
  <c r="K6"/>
  <c r="J6"/>
  <c r="H6"/>
  <c r="G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6"/>
  <c r="T200" i="1" l="1"/>
  <c r="T200" i="11"/>
  <c r="V37" i="15" l="1"/>
  <c r="T195" l="1"/>
  <c r="T194"/>
  <c r="T168"/>
  <c r="T211" i="2" l="1"/>
  <c r="T185" i="15" l="1"/>
  <c r="T95" i="13"/>
  <c r="T95" i="9"/>
  <c r="T95" i="7"/>
  <c r="T95" i="6"/>
  <c r="T95" i="4"/>
  <c r="T95" i="2"/>
  <c r="T95" i="1"/>
  <c r="J83" i="9"/>
  <c r="J83" i="5"/>
  <c r="J83" i="4"/>
  <c r="J83" i="3"/>
  <c r="T79" i="16"/>
  <c r="P84" i="15"/>
  <c r="J84"/>
  <c r="R83"/>
  <c r="X83" s="1"/>
  <c r="T83" i="19" s="1"/>
  <c r="P83" i="15"/>
  <c r="J83"/>
  <c r="X82"/>
  <c r="T82" i="19" s="1"/>
  <c r="P82" i="15"/>
  <c r="X81"/>
  <c r="T81" i="19" s="1"/>
  <c r="X80" i="15"/>
  <c r="T80" i="19" s="1"/>
  <c r="O79" i="15"/>
  <c r="P79" s="1"/>
  <c r="J79"/>
  <c r="P83" i="14"/>
  <c r="J83"/>
  <c r="X83" s="1"/>
  <c r="X82"/>
  <c r="X81"/>
  <c r="X80"/>
  <c r="J79"/>
  <c r="X79" s="1"/>
  <c r="P83" i="13"/>
  <c r="J83"/>
  <c r="X83" s="1"/>
  <c r="X82"/>
  <c r="X81"/>
  <c r="X80"/>
  <c r="P79"/>
  <c r="J79"/>
  <c r="X79" s="1"/>
  <c r="P83" i="12"/>
  <c r="J83"/>
  <c r="X83" s="1"/>
  <c r="X82"/>
  <c r="X81"/>
  <c r="X80"/>
  <c r="P79"/>
  <c r="J79"/>
  <c r="X79" s="1"/>
  <c r="P84" i="11"/>
  <c r="J84"/>
  <c r="X84" s="1"/>
  <c r="P83"/>
  <c r="X83" s="1"/>
  <c r="J83"/>
  <c r="X82"/>
  <c r="X81"/>
  <c r="X80"/>
  <c r="P79"/>
  <c r="X79" s="1"/>
  <c r="J79"/>
  <c r="P83" i="10"/>
  <c r="J83"/>
  <c r="X83" s="1"/>
  <c r="X82"/>
  <c r="X81"/>
  <c r="X80"/>
  <c r="P79"/>
  <c r="J79"/>
  <c r="X79" s="1"/>
  <c r="P84" i="9"/>
  <c r="J84"/>
  <c r="P83"/>
  <c r="X83" s="1"/>
  <c r="N83" i="19" s="1"/>
  <c r="X82" i="9"/>
  <c r="N82" i="19" s="1"/>
  <c r="X81" i="9"/>
  <c r="N81" i="19" s="1"/>
  <c r="X80" i="9"/>
  <c r="N80" i="19" s="1"/>
  <c r="X79" i="9"/>
  <c r="N79" i="19" s="1"/>
  <c r="P79" i="9"/>
  <c r="J79"/>
  <c r="P83" i="8"/>
  <c r="J83"/>
  <c r="X83" s="1"/>
  <c r="X82"/>
  <c r="X81"/>
  <c r="X80"/>
  <c r="J79"/>
  <c r="X79" s="1"/>
  <c r="J83" i="7"/>
  <c r="X83" s="1"/>
  <c r="X82"/>
  <c r="X81"/>
  <c r="X80"/>
  <c r="P79"/>
  <c r="J79"/>
  <c r="X79" s="1"/>
  <c r="P83" i="6"/>
  <c r="J83"/>
  <c r="X83" s="1"/>
  <c r="X82"/>
  <c r="X81"/>
  <c r="X80"/>
  <c r="P79"/>
  <c r="J79"/>
  <c r="X79" s="1"/>
  <c r="X83" i="5"/>
  <c r="X82"/>
  <c r="X81"/>
  <c r="X80"/>
  <c r="X79"/>
  <c r="P79"/>
  <c r="J79"/>
  <c r="J84" i="4"/>
  <c r="X84" s="1"/>
  <c r="I84" i="19" s="1"/>
  <c r="X83" i="4"/>
  <c r="I83" i="19" s="1"/>
  <c r="U83" s="1"/>
  <c r="X82" i="4"/>
  <c r="I82" i="19" s="1"/>
  <c r="X81" i="4"/>
  <c r="I81" i="19" s="1"/>
  <c r="U81" s="1"/>
  <c r="X80" i="4"/>
  <c r="I80" i="19" s="1"/>
  <c r="P79" i="4"/>
  <c r="J79"/>
  <c r="X79" s="1"/>
  <c r="I79" i="19" s="1"/>
  <c r="P84" i="3"/>
  <c r="J84"/>
  <c r="X84" s="1"/>
  <c r="X83"/>
  <c r="P83"/>
  <c r="X82"/>
  <c r="X81"/>
  <c r="X80"/>
  <c r="P79"/>
  <c r="J79"/>
  <c r="X79" s="1"/>
  <c r="X84" i="2"/>
  <c r="X83"/>
  <c r="P83"/>
  <c r="J83"/>
  <c r="X82"/>
  <c r="X81"/>
  <c r="X80"/>
  <c r="X79"/>
  <c r="P79"/>
  <c r="J79"/>
  <c r="P84" i="1"/>
  <c r="J84"/>
  <c r="X84" s="1"/>
  <c r="X83"/>
  <c r="P83"/>
  <c r="J83"/>
  <c r="X82"/>
  <c r="X81"/>
  <c r="X80"/>
  <c r="X79"/>
  <c r="P79"/>
  <c r="J79"/>
  <c r="U82" i="19" l="1"/>
  <c r="X84" i="15"/>
  <c r="T84" i="19" s="1"/>
  <c r="X84" i="9"/>
  <c r="N84" i="19" s="1"/>
  <c r="U80"/>
  <c r="X79" i="15"/>
  <c r="T79" i="19" s="1"/>
  <c r="U79" s="1"/>
  <c r="U84" l="1"/>
  <c r="O70" i="15"/>
  <c r="O73"/>
  <c r="T75" i="14" l="1"/>
  <c r="T75" i="13"/>
  <c r="T75" i="12"/>
  <c r="T75" i="10"/>
  <c r="T75" i="9"/>
  <c r="T75" i="8"/>
  <c r="T75" i="7"/>
  <c r="T75" i="6"/>
  <c r="T75" i="5"/>
  <c r="T75" i="3"/>
  <c r="T75" i="1"/>
  <c r="T193" i="15" l="1"/>
  <c r="O189"/>
  <c r="L165"/>
  <c r="R67" l="1"/>
  <c r="L32"/>
  <c r="L29"/>
  <c r="L22"/>
  <c r="L20"/>
  <c r="T161" i="14"/>
  <c r="T161" i="13"/>
  <c r="T161" i="12"/>
  <c r="T161" i="11"/>
  <c r="T161" i="10"/>
  <c r="T161" i="9"/>
  <c r="T161" i="8"/>
  <c r="T161" i="7"/>
  <c r="T161" i="6"/>
  <c r="T161" i="5"/>
  <c r="T161" i="4"/>
  <c r="T161" i="3"/>
  <c r="T161" i="2"/>
  <c r="T161" i="1" l="1"/>
  <c r="J173" i="15" l="1"/>
  <c r="T181"/>
  <c r="L178"/>
  <c r="T195" i="14" l="1"/>
  <c r="T195" i="13"/>
  <c r="T195" i="12"/>
  <c r="T195" i="11"/>
  <c r="T195" i="10"/>
  <c r="T195" i="9"/>
  <c r="T195" i="8"/>
  <c r="T195" i="7"/>
  <c r="T195" i="6"/>
  <c r="T195" i="2"/>
  <c r="T195" i="1"/>
  <c r="T195" i="5" l="1"/>
  <c r="T195" i="4"/>
  <c r="T195" i="3"/>
  <c r="R91" i="15" l="1"/>
  <c r="Z47" i="7" l="1"/>
  <c r="T191" i="15" l="1"/>
  <c r="T191" i="12"/>
  <c r="T191" i="10"/>
  <c r="T191" i="9"/>
  <c r="T191" i="7"/>
  <c r="T191" i="6"/>
  <c r="T191" i="3"/>
  <c r="T191" i="1"/>
  <c r="T185" i="2" l="1"/>
  <c r="T191" i="13" l="1"/>
  <c r="T191" i="4"/>
  <c r="L122" i="15" l="1"/>
  <c r="L102"/>
  <c r="L128" l="1"/>
  <c r="T45" l="1"/>
  <c r="T45" i="14"/>
  <c r="T45" i="13"/>
  <c r="T45" i="12"/>
  <c r="T45" i="11"/>
  <c r="T45" i="10"/>
  <c r="T45" i="9"/>
  <c r="T45" i="8"/>
  <c r="T45" i="7"/>
  <c r="T45" i="6"/>
  <c r="T45" i="5"/>
  <c r="T45" i="4"/>
  <c r="T45" i="3"/>
  <c r="T45" i="2"/>
  <c r="T45" i="1"/>
  <c r="L119" i="15" l="1"/>
  <c r="H118" i="16"/>
  <c r="O117" i="15"/>
  <c r="L114"/>
  <c r="T105"/>
  <c r="X105" i="14"/>
  <c r="X105" i="13"/>
  <c r="X105" i="12"/>
  <c r="X105" i="11"/>
  <c r="X105" i="10"/>
  <c r="X105" i="8"/>
  <c r="X105" i="7"/>
  <c r="X105" i="6"/>
  <c r="X105" i="5"/>
  <c r="X105" i="3"/>
  <c r="X105" i="2"/>
  <c r="P70" l="1"/>
  <c r="P41" i="15" l="1"/>
  <c r="T211" i="16" l="1"/>
  <c r="W216"/>
  <c r="U216"/>
  <c r="S216"/>
  <c r="Q216"/>
  <c r="M216"/>
  <c r="K216"/>
  <c r="G216"/>
  <c r="V215"/>
  <c r="T215"/>
  <c r="R215"/>
  <c r="O215"/>
  <c r="N215"/>
  <c r="L215"/>
  <c r="I215"/>
  <c r="H215"/>
  <c r="F215"/>
  <c r="V214"/>
  <c r="T214"/>
  <c r="R214"/>
  <c r="O214"/>
  <c r="N214"/>
  <c r="L214"/>
  <c r="I214"/>
  <c r="H214"/>
  <c r="F214"/>
  <c r="V213"/>
  <c r="T213"/>
  <c r="R213"/>
  <c r="O213"/>
  <c r="N213"/>
  <c r="L213"/>
  <c r="I213"/>
  <c r="H213"/>
  <c r="F213"/>
  <c r="V212"/>
  <c r="T212"/>
  <c r="R212"/>
  <c r="O212"/>
  <c r="N212"/>
  <c r="L212"/>
  <c r="I212"/>
  <c r="H212"/>
  <c r="F212"/>
  <c r="V211"/>
  <c r="R211"/>
  <c r="O211"/>
  <c r="N211"/>
  <c r="L211"/>
  <c r="I211"/>
  <c r="H211"/>
  <c r="F211"/>
  <c r="V210"/>
  <c r="T210"/>
  <c r="R210"/>
  <c r="O210"/>
  <c r="N210"/>
  <c r="L210"/>
  <c r="I210"/>
  <c r="H210"/>
  <c r="F210"/>
  <c r="V209"/>
  <c r="T209"/>
  <c r="R209"/>
  <c r="O209"/>
  <c r="N209"/>
  <c r="L209"/>
  <c r="I209"/>
  <c r="H209"/>
  <c r="F209"/>
  <c r="V208"/>
  <c r="T208"/>
  <c r="R208"/>
  <c r="O208"/>
  <c r="N208"/>
  <c r="L208"/>
  <c r="I208"/>
  <c r="H208"/>
  <c r="F208"/>
  <c r="V207"/>
  <c r="T207"/>
  <c r="R207"/>
  <c r="O207"/>
  <c r="N207"/>
  <c r="L207"/>
  <c r="I207"/>
  <c r="H207"/>
  <c r="F207"/>
  <c r="V206"/>
  <c r="T206"/>
  <c r="R206"/>
  <c r="O206"/>
  <c r="N206"/>
  <c r="L206"/>
  <c r="I206"/>
  <c r="H206"/>
  <c r="F206"/>
  <c r="V205"/>
  <c r="T205"/>
  <c r="R205"/>
  <c r="O205"/>
  <c r="N205"/>
  <c r="L205"/>
  <c r="I205"/>
  <c r="H205"/>
  <c r="F205"/>
  <c r="V204"/>
  <c r="T204"/>
  <c r="R204"/>
  <c r="O204"/>
  <c r="N204"/>
  <c r="L204"/>
  <c r="I204"/>
  <c r="H204"/>
  <c r="F204"/>
  <c r="V203"/>
  <c r="R203"/>
  <c r="O203"/>
  <c r="N203"/>
  <c r="L203"/>
  <c r="I203"/>
  <c r="H203"/>
  <c r="F203"/>
  <c r="V202"/>
  <c r="T202"/>
  <c r="R202"/>
  <c r="O202"/>
  <c r="N202"/>
  <c r="L202"/>
  <c r="I202"/>
  <c r="H202"/>
  <c r="F202"/>
  <c r="V201"/>
  <c r="T201"/>
  <c r="R201"/>
  <c r="O201"/>
  <c r="N201"/>
  <c r="L201"/>
  <c r="I201"/>
  <c r="H201"/>
  <c r="F201"/>
  <c r="V200"/>
  <c r="T200"/>
  <c r="R200"/>
  <c r="O200"/>
  <c r="N200"/>
  <c r="L200"/>
  <c r="I200"/>
  <c r="H200"/>
  <c r="F200"/>
  <c r="V199"/>
  <c r="T199"/>
  <c r="R199"/>
  <c r="O199"/>
  <c r="N199"/>
  <c r="L199"/>
  <c r="I199"/>
  <c r="H199"/>
  <c r="F199"/>
  <c r="V198"/>
  <c r="T198"/>
  <c r="R198"/>
  <c r="O198"/>
  <c r="N198"/>
  <c r="L198"/>
  <c r="I198"/>
  <c r="H198"/>
  <c r="F198"/>
  <c r="V197"/>
  <c r="T197"/>
  <c r="R197"/>
  <c r="O197"/>
  <c r="N197"/>
  <c r="L197"/>
  <c r="I197"/>
  <c r="H197"/>
  <c r="F197"/>
  <c r="V196"/>
  <c r="R196"/>
  <c r="O196"/>
  <c r="N196"/>
  <c r="L196"/>
  <c r="I196"/>
  <c r="H196"/>
  <c r="F196"/>
  <c r="V195"/>
  <c r="R195"/>
  <c r="O195"/>
  <c r="N195"/>
  <c r="L195"/>
  <c r="I195"/>
  <c r="H195"/>
  <c r="F195"/>
  <c r="V194"/>
  <c r="R194"/>
  <c r="O194"/>
  <c r="N194"/>
  <c r="L194"/>
  <c r="I194"/>
  <c r="H194"/>
  <c r="F194"/>
  <c r="V193"/>
  <c r="T193"/>
  <c r="R193"/>
  <c r="O193"/>
  <c r="N193"/>
  <c r="L193"/>
  <c r="I193"/>
  <c r="H193"/>
  <c r="F193"/>
  <c r="V192"/>
  <c r="T192"/>
  <c r="R192"/>
  <c r="O192"/>
  <c r="N192"/>
  <c r="L192"/>
  <c r="I192"/>
  <c r="H192"/>
  <c r="F192"/>
  <c r="V191"/>
  <c r="R191"/>
  <c r="O191"/>
  <c r="N191"/>
  <c r="L191"/>
  <c r="I191"/>
  <c r="H191"/>
  <c r="F191"/>
  <c r="V190"/>
  <c r="T190"/>
  <c r="R190"/>
  <c r="O190"/>
  <c r="N190"/>
  <c r="L190"/>
  <c r="I190"/>
  <c r="H190"/>
  <c r="F190"/>
  <c r="V189"/>
  <c r="T189"/>
  <c r="R189"/>
  <c r="N189"/>
  <c r="L189"/>
  <c r="I189"/>
  <c r="H189"/>
  <c r="F189"/>
  <c r="V188"/>
  <c r="T188"/>
  <c r="R188"/>
  <c r="O188"/>
  <c r="N188"/>
  <c r="L188"/>
  <c r="I188"/>
  <c r="H188"/>
  <c r="F188"/>
  <c r="V187"/>
  <c r="R187"/>
  <c r="O187"/>
  <c r="N187"/>
  <c r="L187"/>
  <c r="I187"/>
  <c r="H187"/>
  <c r="F187"/>
  <c r="V186"/>
  <c r="T186"/>
  <c r="R186"/>
  <c r="O186"/>
  <c r="N186"/>
  <c r="L186"/>
  <c r="I186"/>
  <c r="H186"/>
  <c r="F186"/>
  <c r="V185"/>
  <c r="R185"/>
  <c r="O185"/>
  <c r="N185"/>
  <c r="L185"/>
  <c r="I185"/>
  <c r="H185"/>
  <c r="F185"/>
  <c r="V184"/>
  <c r="R184"/>
  <c r="O184"/>
  <c r="N184"/>
  <c r="L184"/>
  <c r="I184"/>
  <c r="H184"/>
  <c r="F184"/>
  <c r="V183"/>
  <c r="T183"/>
  <c r="R183"/>
  <c r="O183"/>
  <c r="N183"/>
  <c r="L183"/>
  <c r="I183"/>
  <c r="H183"/>
  <c r="F183"/>
  <c r="V182"/>
  <c r="T182"/>
  <c r="R182"/>
  <c r="O182"/>
  <c r="N182"/>
  <c r="L182"/>
  <c r="I182"/>
  <c r="H182"/>
  <c r="F182"/>
  <c r="V181"/>
  <c r="R181"/>
  <c r="O181"/>
  <c r="N181"/>
  <c r="L181"/>
  <c r="I181"/>
  <c r="H181"/>
  <c r="F181"/>
  <c r="V180"/>
  <c r="T180"/>
  <c r="R180"/>
  <c r="O180"/>
  <c r="N180"/>
  <c r="L180"/>
  <c r="I180"/>
  <c r="H180"/>
  <c r="F180"/>
  <c r="V179"/>
  <c r="T179"/>
  <c r="R179"/>
  <c r="O179"/>
  <c r="N179"/>
  <c r="L179"/>
  <c r="I179"/>
  <c r="H179"/>
  <c r="F179"/>
  <c r="V178"/>
  <c r="T178"/>
  <c r="R178"/>
  <c r="O178"/>
  <c r="N178"/>
  <c r="L178"/>
  <c r="I178"/>
  <c r="H178"/>
  <c r="F178"/>
  <c r="V177"/>
  <c r="T177"/>
  <c r="R177"/>
  <c r="O177"/>
  <c r="N177"/>
  <c r="L177"/>
  <c r="I177"/>
  <c r="H177"/>
  <c r="F177"/>
  <c r="V176"/>
  <c r="T176"/>
  <c r="R176"/>
  <c r="O176"/>
  <c r="N176"/>
  <c r="L176"/>
  <c r="I176"/>
  <c r="H176"/>
  <c r="F176"/>
  <c r="V175"/>
  <c r="T175"/>
  <c r="R175"/>
  <c r="O175"/>
  <c r="N175"/>
  <c r="L175"/>
  <c r="I175"/>
  <c r="H175"/>
  <c r="F175"/>
  <c r="V174"/>
  <c r="T174"/>
  <c r="R174"/>
  <c r="O174"/>
  <c r="N174"/>
  <c r="L174"/>
  <c r="I174"/>
  <c r="H174"/>
  <c r="F174"/>
  <c r="V173"/>
  <c r="T173"/>
  <c r="R173"/>
  <c r="O173"/>
  <c r="N173"/>
  <c r="L173"/>
  <c r="I173"/>
  <c r="H173"/>
  <c r="F173"/>
  <c r="V172"/>
  <c r="R172"/>
  <c r="O172"/>
  <c r="N172"/>
  <c r="L172"/>
  <c r="I172"/>
  <c r="H172"/>
  <c r="F172"/>
  <c r="V171"/>
  <c r="T171"/>
  <c r="R171"/>
  <c r="O171"/>
  <c r="N171"/>
  <c r="L171"/>
  <c r="I171"/>
  <c r="H171"/>
  <c r="F171"/>
  <c r="V170"/>
  <c r="T170"/>
  <c r="R170"/>
  <c r="O170"/>
  <c r="N170"/>
  <c r="L170"/>
  <c r="I170"/>
  <c r="H170"/>
  <c r="F170"/>
  <c r="V169"/>
  <c r="T169"/>
  <c r="R169"/>
  <c r="O169"/>
  <c r="N169"/>
  <c r="L169"/>
  <c r="I169"/>
  <c r="H169"/>
  <c r="F169"/>
  <c r="V168"/>
  <c r="R168"/>
  <c r="O168"/>
  <c r="N168"/>
  <c r="L168"/>
  <c r="I168"/>
  <c r="H168"/>
  <c r="F168"/>
  <c r="V167"/>
  <c r="T167"/>
  <c r="R167"/>
  <c r="O167"/>
  <c r="N167"/>
  <c r="L167"/>
  <c r="I167"/>
  <c r="H167"/>
  <c r="F167"/>
  <c r="V166"/>
  <c r="T166"/>
  <c r="R166"/>
  <c r="O166"/>
  <c r="N166"/>
  <c r="L166"/>
  <c r="I166"/>
  <c r="H166"/>
  <c r="F166"/>
  <c r="V165"/>
  <c r="T165"/>
  <c r="R165"/>
  <c r="O165"/>
  <c r="N165"/>
  <c r="L165"/>
  <c r="I165"/>
  <c r="H165"/>
  <c r="F165"/>
  <c r="V164"/>
  <c r="T164"/>
  <c r="R164"/>
  <c r="O164"/>
  <c r="N164"/>
  <c r="L164"/>
  <c r="I164"/>
  <c r="H164"/>
  <c r="F164"/>
  <c r="V163"/>
  <c r="T163"/>
  <c r="R163"/>
  <c r="O163"/>
  <c r="N163"/>
  <c r="L163"/>
  <c r="I163"/>
  <c r="H163"/>
  <c r="F163"/>
  <c r="V162"/>
  <c r="T162"/>
  <c r="R162"/>
  <c r="O162"/>
  <c r="N162"/>
  <c r="L162"/>
  <c r="I162"/>
  <c r="H162"/>
  <c r="F162"/>
  <c r="V161"/>
  <c r="R161"/>
  <c r="O161"/>
  <c r="N161"/>
  <c r="L161"/>
  <c r="I161"/>
  <c r="H161"/>
  <c r="F161"/>
  <c r="V160"/>
  <c r="T160"/>
  <c r="R160"/>
  <c r="O160"/>
  <c r="N160"/>
  <c r="L160"/>
  <c r="I160"/>
  <c r="H160"/>
  <c r="F160"/>
  <c r="V159"/>
  <c r="T159"/>
  <c r="R159"/>
  <c r="O159"/>
  <c r="N159"/>
  <c r="L159"/>
  <c r="I159"/>
  <c r="H159"/>
  <c r="F159"/>
  <c r="W158"/>
  <c r="U158"/>
  <c r="S158"/>
  <c r="Q158"/>
  <c r="M158"/>
  <c r="K158"/>
  <c r="G158"/>
  <c r="V157"/>
  <c r="R157"/>
  <c r="O157"/>
  <c r="N157"/>
  <c r="L157"/>
  <c r="I157"/>
  <c r="H157"/>
  <c r="F157"/>
  <c r="V156"/>
  <c r="T156"/>
  <c r="R156"/>
  <c r="O156"/>
  <c r="N156"/>
  <c r="L156"/>
  <c r="I156"/>
  <c r="H156"/>
  <c r="F156"/>
  <c r="V155"/>
  <c r="T155"/>
  <c r="R155"/>
  <c r="O155"/>
  <c r="N155"/>
  <c r="L155"/>
  <c r="I155"/>
  <c r="H155"/>
  <c r="F155"/>
  <c r="V154"/>
  <c r="R154"/>
  <c r="O154"/>
  <c r="N154"/>
  <c r="L154"/>
  <c r="I154"/>
  <c r="H154"/>
  <c r="F154"/>
  <c r="V153"/>
  <c r="T153"/>
  <c r="R153"/>
  <c r="O153"/>
  <c r="N153"/>
  <c r="L153"/>
  <c r="I153"/>
  <c r="H153"/>
  <c r="F153"/>
  <c r="V152"/>
  <c r="T152"/>
  <c r="R152"/>
  <c r="O152"/>
  <c r="N152"/>
  <c r="L152"/>
  <c r="I152"/>
  <c r="H152"/>
  <c r="F152"/>
  <c r="V151"/>
  <c r="T151"/>
  <c r="R151"/>
  <c r="O151"/>
  <c r="N151"/>
  <c r="L151"/>
  <c r="I151"/>
  <c r="H151"/>
  <c r="F151"/>
  <c r="V150"/>
  <c r="R150"/>
  <c r="O150"/>
  <c r="N150"/>
  <c r="L150"/>
  <c r="I150"/>
  <c r="H150"/>
  <c r="F150"/>
  <c r="V149"/>
  <c r="T149"/>
  <c r="R149"/>
  <c r="O149"/>
  <c r="N149"/>
  <c r="L149"/>
  <c r="I149"/>
  <c r="H149"/>
  <c r="F149"/>
  <c r="V148"/>
  <c r="R148"/>
  <c r="O148"/>
  <c r="N148"/>
  <c r="L148"/>
  <c r="I148"/>
  <c r="H148"/>
  <c r="F148"/>
  <c r="V147"/>
  <c r="R147"/>
  <c r="O147"/>
  <c r="N147"/>
  <c r="L147"/>
  <c r="I147"/>
  <c r="H147"/>
  <c r="F147"/>
  <c r="V146"/>
  <c r="T146"/>
  <c r="R146"/>
  <c r="O146"/>
  <c r="N146"/>
  <c r="L146"/>
  <c r="I146"/>
  <c r="H146"/>
  <c r="F146"/>
  <c r="V145"/>
  <c r="T145"/>
  <c r="R145"/>
  <c r="O145"/>
  <c r="N145"/>
  <c r="L145"/>
  <c r="I145"/>
  <c r="H145"/>
  <c r="F145"/>
  <c r="V144"/>
  <c r="T144"/>
  <c r="R144"/>
  <c r="O144"/>
  <c r="N144"/>
  <c r="L144"/>
  <c r="I144"/>
  <c r="H144"/>
  <c r="F144"/>
  <c r="V143"/>
  <c r="T143"/>
  <c r="R143"/>
  <c r="O143"/>
  <c r="N143"/>
  <c r="L143"/>
  <c r="I143"/>
  <c r="H143"/>
  <c r="F143"/>
  <c r="V142"/>
  <c r="R142"/>
  <c r="O142"/>
  <c r="N142"/>
  <c r="L142"/>
  <c r="I142"/>
  <c r="H142"/>
  <c r="F142"/>
  <c r="V141"/>
  <c r="T141"/>
  <c r="R141"/>
  <c r="O141"/>
  <c r="N141"/>
  <c r="L141"/>
  <c r="I141"/>
  <c r="H141"/>
  <c r="F141"/>
  <c r="V140"/>
  <c r="T140"/>
  <c r="R140"/>
  <c r="O140"/>
  <c r="N140"/>
  <c r="L140"/>
  <c r="I140"/>
  <c r="H140"/>
  <c r="F140"/>
  <c r="V139"/>
  <c r="T139"/>
  <c r="R139"/>
  <c r="O139"/>
  <c r="N139"/>
  <c r="L139"/>
  <c r="I139"/>
  <c r="H139"/>
  <c r="F139"/>
  <c r="V138"/>
  <c r="T138"/>
  <c r="R138"/>
  <c r="O138"/>
  <c r="N138"/>
  <c r="L138"/>
  <c r="I138"/>
  <c r="H138"/>
  <c r="F138"/>
  <c r="V137"/>
  <c r="T137"/>
  <c r="R137"/>
  <c r="O137"/>
  <c r="N137"/>
  <c r="L137"/>
  <c r="I137"/>
  <c r="H137"/>
  <c r="F137"/>
  <c r="V136"/>
  <c r="T136"/>
  <c r="R136"/>
  <c r="O136"/>
  <c r="N136"/>
  <c r="L136"/>
  <c r="I136"/>
  <c r="H136"/>
  <c r="F136"/>
  <c r="V135"/>
  <c r="T135"/>
  <c r="R135"/>
  <c r="O135"/>
  <c r="N135"/>
  <c r="L135"/>
  <c r="I135"/>
  <c r="H135"/>
  <c r="F135"/>
  <c r="W134"/>
  <c r="U134"/>
  <c r="S134"/>
  <c r="Q134"/>
  <c r="M134"/>
  <c r="K134"/>
  <c r="G134"/>
  <c r="V133"/>
  <c r="T133"/>
  <c r="R133"/>
  <c r="O133"/>
  <c r="N133"/>
  <c r="L133"/>
  <c r="I133"/>
  <c r="H133"/>
  <c r="F133"/>
  <c r="V132"/>
  <c r="T132"/>
  <c r="R132"/>
  <c r="O132"/>
  <c r="N132"/>
  <c r="L132"/>
  <c r="I132"/>
  <c r="H132"/>
  <c r="F132"/>
  <c r="V131"/>
  <c r="T131"/>
  <c r="R131"/>
  <c r="O131"/>
  <c r="N131"/>
  <c r="L131"/>
  <c r="I131"/>
  <c r="H131"/>
  <c r="F131"/>
  <c r="V130"/>
  <c r="T130"/>
  <c r="R130"/>
  <c r="O130"/>
  <c r="N130"/>
  <c r="L130"/>
  <c r="I130"/>
  <c r="H130"/>
  <c r="F130"/>
  <c r="V129"/>
  <c r="T129"/>
  <c r="R129"/>
  <c r="O129"/>
  <c r="N129"/>
  <c r="L129"/>
  <c r="I129"/>
  <c r="H129"/>
  <c r="F129"/>
  <c r="V128"/>
  <c r="T128"/>
  <c r="R128"/>
  <c r="O128"/>
  <c r="N128"/>
  <c r="I128"/>
  <c r="H128"/>
  <c r="F128"/>
  <c r="V127"/>
  <c r="T127"/>
  <c r="R127"/>
  <c r="O127"/>
  <c r="N127"/>
  <c r="L127"/>
  <c r="I127"/>
  <c r="H127"/>
  <c r="F127"/>
  <c r="V126"/>
  <c r="T126"/>
  <c r="R126"/>
  <c r="O126"/>
  <c r="N126"/>
  <c r="L126"/>
  <c r="I126"/>
  <c r="H126"/>
  <c r="F126"/>
  <c r="V125"/>
  <c r="T125"/>
  <c r="R125"/>
  <c r="O125"/>
  <c r="N125"/>
  <c r="L125"/>
  <c r="I125"/>
  <c r="H125"/>
  <c r="F125"/>
  <c r="V124"/>
  <c r="T124"/>
  <c r="R124"/>
  <c r="O124"/>
  <c r="N124"/>
  <c r="L124"/>
  <c r="I124"/>
  <c r="H124"/>
  <c r="F124"/>
  <c r="V123"/>
  <c r="T123"/>
  <c r="R123"/>
  <c r="O123"/>
  <c r="N123"/>
  <c r="L123"/>
  <c r="I123"/>
  <c r="H123"/>
  <c r="F123"/>
  <c r="V122"/>
  <c r="T122"/>
  <c r="R122"/>
  <c r="O122"/>
  <c r="N122"/>
  <c r="L122"/>
  <c r="I122"/>
  <c r="H122"/>
  <c r="F122"/>
  <c r="V121"/>
  <c r="T121"/>
  <c r="R121"/>
  <c r="O121"/>
  <c r="N121"/>
  <c r="L121"/>
  <c r="I121"/>
  <c r="H121"/>
  <c r="F121"/>
  <c r="V120"/>
  <c r="T120"/>
  <c r="R120"/>
  <c r="O120"/>
  <c r="N120"/>
  <c r="L120"/>
  <c r="I120"/>
  <c r="H120"/>
  <c r="F120"/>
  <c r="V119"/>
  <c r="T119"/>
  <c r="R119"/>
  <c r="O119"/>
  <c r="N119"/>
  <c r="L119"/>
  <c r="I119"/>
  <c r="H119"/>
  <c r="F119"/>
  <c r="V118"/>
  <c r="T118"/>
  <c r="R118"/>
  <c r="O118"/>
  <c r="N118"/>
  <c r="L118"/>
  <c r="I118"/>
  <c r="F118"/>
  <c r="V117"/>
  <c r="T117"/>
  <c r="R117"/>
  <c r="O117"/>
  <c r="N117"/>
  <c r="L117"/>
  <c r="I117"/>
  <c r="H117"/>
  <c r="F117"/>
  <c r="V116"/>
  <c r="T116"/>
  <c r="R116"/>
  <c r="O116"/>
  <c r="N116"/>
  <c r="L116"/>
  <c r="I116"/>
  <c r="H116"/>
  <c r="F116"/>
  <c r="V115"/>
  <c r="T115"/>
  <c r="R115"/>
  <c r="O115"/>
  <c r="N115"/>
  <c r="L115"/>
  <c r="I115"/>
  <c r="H115"/>
  <c r="F115"/>
  <c r="V114"/>
  <c r="T114"/>
  <c r="R114"/>
  <c r="O114"/>
  <c r="N114"/>
  <c r="L114"/>
  <c r="I114"/>
  <c r="H114"/>
  <c r="F114"/>
  <c r="V113"/>
  <c r="T113"/>
  <c r="R113"/>
  <c r="O113"/>
  <c r="N113"/>
  <c r="L113"/>
  <c r="I113"/>
  <c r="H113"/>
  <c r="F113"/>
  <c r="V112"/>
  <c r="T112"/>
  <c r="R112"/>
  <c r="O112"/>
  <c r="N112"/>
  <c r="L112"/>
  <c r="I112"/>
  <c r="H112"/>
  <c r="F112"/>
  <c r="V111"/>
  <c r="T111"/>
  <c r="R111"/>
  <c r="O111"/>
  <c r="N111"/>
  <c r="L111"/>
  <c r="I111"/>
  <c r="H111"/>
  <c r="F111"/>
  <c r="V110"/>
  <c r="T110"/>
  <c r="R110"/>
  <c r="O110"/>
  <c r="N110"/>
  <c r="L110"/>
  <c r="I110"/>
  <c r="H110"/>
  <c r="F110"/>
  <c r="V109"/>
  <c r="T109"/>
  <c r="R109"/>
  <c r="O109"/>
  <c r="N109"/>
  <c r="L109"/>
  <c r="I109"/>
  <c r="H109"/>
  <c r="F109"/>
  <c r="V108"/>
  <c r="T108"/>
  <c r="R108"/>
  <c r="O108"/>
  <c r="N108"/>
  <c r="L108"/>
  <c r="I108"/>
  <c r="H108"/>
  <c r="F108"/>
  <c r="V107"/>
  <c r="T107"/>
  <c r="R107"/>
  <c r="O107"/>
  <c r="N107"/>
  <c r="L107"/>
  <c r="I107"/>
  <c r="H107"/>
  <c r="F107"/>
  <c r="V106"/>
  <c r="T106"/>
  <c r="R106"/>
  <c r="O106"/>
  <c r="N106"/>
  <c r="L106"/>
  <c r="I106"/>
  <c r="H106"/>
  <c r="F106"/>
  <c r="V105"/>
  <c r="R105"/>
  <c r="O105"/>
  <c r="N105"/>
  <c r="L105"/>
  <c r="I105"/>
  <c r="H105"/>
  <c r="F105"/>
  <c r="V104"/>
  <c r="R104"/>
  <c r="O104"/>
  <c r="N104"/>
  <c r="L104"/>
  <c r="I104"/>
  <c r="H104"/>
  <c r="F104"/>
  <c r="V103"/>
  <c r="T103"/>
  <c r="R103"/>
  <c r="O103"/>
  <c r="N103"/>
  <c r="L103"/>
  <c r="I103"/>
  <c r="H103"/>
  <c r="F103"/>
  <c r="V102"/>
  <c r="T102"/>
  <c r="R102"/>
  <c r="O102"/>
  <c r="N102"/>
  <c r="L102"/>
  <c r="I102"/>
  <c r="H102"/>
  <c r="F102"/>
  <c r="V101"/>
  <c r="T101"/>
  <c r="R101"/>
  <c r="O101"/>
  <c r="N101"/>
  <c r="I101"/>
  <c r="H101"/>
  <c r="F101"/>
  <c r="V100"/>
  <c r="T100"/>
  <c r="R100"/>
  <c r="O100"/>
  <c r="N100"/>
  <c r="L100"/>
  <c r="I100"/>
  <c r="H100"/>
  <c r="F100"/>
  <c r="V99"/>
  <c r="T99"/>
  <c r="R99"/>
  <c r="O99"/>
  <c r="N99"/>
  <c r="L99"/>
  <c r="I99"/>
  <c r="H99"/>
  <c r="F99"/>
  <c r="V98"/>
  <c r="T98"/>
  <c r="R98"/>
  <c r="O98"/>
  <c r="N98"/>
  <c r="L98"/>
  <c r="I98"/>
  <c r="H98"/>
  <c r="F98"/>
  <c r="V97"/>
  <c r="T97"/>
  <c r="R97"/>
  <c r="O97"/>
  <c r="N97"/>
  <c r="L97"/>
  <c r="I97"/>
  <c r="H97"/>
  <c r="F97"/>
  <c r="V96"/>
  <c r="T96"/>
  <c r="R96"/>
  <c r="O96"/>
  <c r="N96"/>
  <c r="L96"/>
  <c r="I96"/>
  <c r="H96"/>
  <c r="F96"/>
  <c r="V95"/>
  <c r="T95"/>
  <c r="R95"/>
  <c r="O95"/>
  <c r="N95"/>
  <c r="L95"/>
  <c r="I95"/>
  <c r="H95"/>
  <c r="F95"/>
  <c r="V94"/>
  <c r="T94"/>
  <c r="R94"/>
  <c r="O94"/>
  <c r="N94"/>
  <c r="L94"/>
  <c r="I94"/>
  <c r="H94"/>
  <c r="F94"/>
  <c r="W93"/>
  <c r="U93"/>
  <c r="S93"/>
  <c r="Q93"/>
  <c r="M93"/>
  <c r="K93"/>
  <c r="G93"/>
  <c r="W92"/>
  <c r="V92"/>
  <c r="U92"/>
  <c r="T92"/>
  <c r="S92"/>
  <c r="R92"/>
  <c r="Q92"/>
  <c r="O92"/>
  <c r="N92"/>
  <c r="M92"/>
  <c r="L92"/>
  <c r="K92"/>
  <c r="I92"/>
  <c r="H92"/>
  <c r="G92"/>
  <c r="F92"/>
  <c r="V91"/>
  <c r="T91"/>
  <c r="R91"/>
  <c r="O91"/>
  <c r="N91"/>
  <c r="L91"/>
  <c r="I91"/>
  <c r="H91"/>
  <c r="F91"/>
  <c r="V90"/>
  <c r="T90"/>
  <c r="R90"/>
  <c r="O90"/>
  <c r="N90"/>
  <c r="L90"/>
  <c r="I90"/>
  <c r="H90"/>
  <c r="F90"/>
  <c r="V89"/>
  <c r="T89"/>
  <c r="R89"/>
  <c r="O89"/>
  <c r="N89"/>
  <c r="L89"/>
  <c r="I89"/>
  <c r="H89"/>
  <c r="F89"/>
  <c r="V88"/>
  <c r="T88"/>
  <c r="R88"/>
  <c r="O88"/>
  <c r="N88"/>
  <c r="L88"/>
  <c r="I88"/>
  <c r="H88"/>
  <c r="F88"/>
  <c r="V87"/>
  <c r="T87"/>
  <c r="R87"/>
  <c r="O87"/>
  <c r="N87"/>
  <c r="L87"/>
  <c r="I87"/>
  <c r="H87"/>
  <c r="F87"/>
  <c r="V86"/>
  <c r="T86"/>
  <c r="R86"/>
  <c r="O86"/>
  <c r="N86"/>
  <c r="L86"/>
  <c r="I86"/>
  <c r="H86"/>
  <c r="F86"/>
  <c r="V85"/>
  <c r="T85"/>
  <c r="R85"/>
  <c r="O85"/>
  <c r="N85"/>
  <c r="L85"/>
  <c r="I85"/>
  <c r="H85"/>
  <c r="F85"/>
  <c r="V84"/>
  <c r="T84"/>
  <c r="R84"/>
  <c r="O84"/>
  <c r="N84"/>
  <c r="L84"/>
  <c r="I84"/>
  <c r="H84"/>
  <c r="F84"/>
  <c r="V83"/>
  <c r="T83"/>
  <c r="R83"/>
  <c r="O83"/>
  <c r="N83"/>
  <c r="L83"/>
  <c r="I83"/>
  <c r="H83"/>
  <c r="F83"/>
  <c r="V82"/>
  <c r="T82"/>
  <c r="R82"/>
  <c r="O82"/>
  <c r="N82"/>
  <c r="L82"/>
  <c r="J82"/>
  <c r="I82"/>
  <c r="H82"/>
  <c r="V81"/>
  <c r="T81"/>
  <c r="R81"/>
  <c r="P81"/>
  <c r="O81"/>
  <c r="N81"/>
  <c r="L81"/>
  <c r="J81"/>
  <c r="I81"/>
  <c r="H81"/>
  <c r="V80"/>
  <c r="T80"/>
  <c r="R80"/>
  <c r="P80"/>
  <c r="O80"/>
  <c r="N80"/>
  <c r="L80"/>
  <c r="J80"/>
  <c r="I80"/>
  <c r="H80"/>
  <c r="F80"/>
  <c r="V79"/>
  <c r="R79"/>
  <c r="N79"/>
  <c r="L79"/>
  <c r="I79"/>
  <c r="H79"/>
  <c r="F79"/>
  <c r="V78"/>
  <c r="T78"/>
  <c r="R78"/>
  <c r="O78"/>
  <c r="N78"/>
  <c r="L78"/>
  <c r="I78"/>
  <c r="H78"/>
  <c r="F78"/>
  <c r="V77"/>
  <c r="T77"/>
  <c r="R77"/>
  <c r="O77"/>
  <c r="N77"/>
  <c r="L77"/>
  <c r="I77"/>
  <c r="H77"/>
  <c r="F77"/>
  <c r="V76"/>
  <c r="R76"/>
  <c r="O76"/>
  <c r="N76"/>
  <c r="L76"/>
  <c r="I76"/>
  <c r="H76"/>
  <c r="F76"/>
  <c r="V75"/>
  <c r="R75"/>
  <c r="O75"/>
  <c r="N75"/>
  <c r="L75"/>
  <c r="I75"/>
  <c r="H75"/>
  <c r="F75"/>
  <c r="V74"/>
  <c r="T74"/>
  <c r="R74"/>
  <c r="O74"/>
  <c r="N74"/>
  <c r="L74"/>
  <c r="I74"/>
  <c r="H74"/>
  <c r="F74"/>
  <c r="V73"/>
  <c r="T73"/>
  <c r="R73"/>
  <c r="O73"/>
  <c r="N73"/>
  <c r="L73"/>
  <c r="I73"/>
  <c r="H73"/>
  <c r="F73"/>
  <c r="V72"/>
  <c r="T72"/>
  <c r="R72"/>
  <c r="O72"/>
  <c r="N72"/>
  <c r="L72"/>
  <c r="I72"/>
  <c r="H72"/>
  <c r="F72"/>
  <c r="V71"/>
  <c r="T71"/>
  <c r="R71"/>
  <c r="O71"/>
  <c r="N71"/>
  <c r="L71"/>
  <c r="I71"/>
  <c r="H71"/>
  <c r="F71"/>
  <c r="V70"/>
  <c r="T70"/>
  <c r="R70"/>
  <c r="O70"/>
  <c r="N70"/>
  <c r="L70"/>
  <c r="I70"/>
  <c r="H70"/>
  <c r="F70"/>
  <c r="V69"/>
  <c r="T69"/>
  <c r="R69"/>
  <c r="O69"/>
  <c r="N69"/>
  <c r="L69"/>
  <c r="I69"/>
  <c r="H69"/>
  <c r="F69"/>
  <c r="W68"/>
  <c r="U68"/>
  <c r="S68"/>
  <c r="Q68"/>
  <c r="M68"/>
  <c r="K68"/>
  <c r="G68"/>
  <c r="V67"/>
  <c r="T67"/>
  <c r="R67"/>
  <c r="O67"/>
  <c r="N67"/>
  <c r="L67"/>
  <c r="I67"/>
  <c r="H67"/>
  <c r="F67"/>
  <c r="V66"/>
  <c r="T66"/>
  <c r="R66"/>
  <c r="O66"/>
  <c r="N66"/>
  <c r="L66"/>
  <c r="I66"/>
  <c r="H66"/>
  <c r="F66"/>
  <c r="V65"/>
  <c r="T65"/>
  <c r="R65"/>
  <c r="O65"/>
  <c r="N65"/>
  <c r="L65"/>
  <c r="I65"/>
  <c r="H65"/>
  <c r="F65"/>
  <c r="V64"/>
  <c r="T64"/>
  <c r="R64"/>
  <c r="O64"/>
  <c r="N64"/>
  <c r="L64"/>
  <c r="I64"/>
  <c r="H64"/>
  <c r="F64"/>
  <c r="V63"/>
  <c r="T63"/>
  <c r="R63"/>
  <c r="O63"/>
  <c r="N63"/>
  <c r="L63"/>
  <c r="I63"/>
  <c r="H63"/>
  <c r="F63"/>
  <c r="V62"/>
  <c r="T62"/>
  <c r="O62"/>
  <c r="N62"/>
  <c r="L62"/>
  <c r="I62"/>
  <c r="H62"/>
  <c r="F62"/>
  <c r="V61"/>
  <c r="T61"/>
  <c r="R61"/>
  <c r="O61"/>
  <c r="N61"/>
  <c r="L61"/>
  <c r="I61"/>
  <c r="H61"/>
  <c r="F61"/>
  <c r="V60"/>
  <c r="T60"/>
  <c r="R60"/>
  <c r="O60"/>
  <c r="N60"/>
  <c r="L60"/>
  <c r="I60"/>
  <c r="H60"/>
  <c r="F60"/>
  <c r="V59"/>
  <c r="T59"/>
  <c r="R59"/>
  <c r="O59"/>
  <c r="N59"/>
  <c r="L59"/>
  <c r="I59"/>
  <c r="H59"/>
  <c r="F59"/>
  <c r="V58"/>
  <c r="T58"/>
  <c r="R58"/>
  <c r="O58"/>
  <c r="N58"/>
  <c r="L58"/>
  <c r="I58"/>
  <c r="H58"/>
  <c r="F58"/>
  <c r="V57"/>
  <c r="T57"/>
  <c r="R57"/>
  <c r="N57"/>
  <c r="L57"/>
  <c r="I57"/>
  <c r="H57"/>
  <c r="F57"/>
  <c r="V56"/>
  <c r="T56"/>
  <c r="R56"/>
  <c r="O56"/>
  <c r="N56"/>
  <c r="L56"/>
  <c r="I56"/>
  <c r="H56"/>
  <c r="F56"/>
  <c r="V55"/>
  <c r="T55"/>
  <c r="R55"/>
  <c r="O55"/>
  <c r="N55"/>
  <c r="L55"/>
  <c r="I55"/>
  <c r="H55"/>
  <c r="F55"/>
  <c r="V54"/>
  <c r="T54"/>
  <c r="R54"/>
  <c r="O54"/>
  <c r="N54"/>
  <c r="L54"/>
  <c r="I54"/>
  <c r="H54"/>
  <c r="F54"/>
  <c r="V53"/>
  <c r="T53"/>
  <c r="R53"/>
  <c r="O53"/>
  <c r="N53"/>
  <c r="L53"/>
  <c r="I53"/>
  <c r="H53"/>
  <c r="F53"/>
  <c r="V52"/>
  <c r="T52"/>
  <c r="R52"/>
  <c r="O52"/>
  <c r="N52"/>
  <c r="L52"/>
  <c r="I52"/>
  <c r="H52"/>
  <c r="F52"/>
  <c r="V51"/>
  <c r="T51"/>
  <c r="R51"/>
  <c r="O51"/>
  <c r="N51"/>
  <c r="L51"/>
  <c r="I51"/>
  <c r="H51"/>
  <c r="F51"/>
  <c r="V50"/>
  <c r="T50"/>
  <c r="R50"/>
  <c r="O50"/>
  <c r="N50"/>
  <c r="L50"/>
  <c r="I50"/>
  <c r="H50"/>
  <c r="F50"/>
  <c r="V49"/>
  <c r="T49"/>
  <c r="R49"/>
  <c r="O49"/>
  <c r="N49"/>
  <c r="L49"/>
  <c r="I49"/>
  <c r="H49"/>
  <c r="F49"/>
  <c r="V48"/>
  <c r="T48"/>
  <c r="R48"/>
  <c r="O48"/>
  <c r="N48"/>
  <c r="L48"/>
  <c r="I48"/>
  <c r="H48"/>
  <c r="F48"/>
  <c r="V47"/>
  <c r="T47"/>
  <c r="R47"/>
  <c r="O47"/>
  <c r="N47"/>
  <c r="L47"/>
  <c r="I47"/>
  <c r="H47"/>
  <c r="F47"/>
  <c r="V46"/>
  <c r="T46"/>
  <c r="R46"/>
  <c r="O46"/>
  <c r="N46"/>
  <c r="L46"/>
  <c r="I46"/>
  <c r="H46"/>
  <c r="F46"/>
  <c r="V45"/>
  <c r="R45"/>
  <c r="O45"/>
  <c r="N45"/>
  <c r="L45"/>
  <c r="I45"/>
  <c r="H45"/>
  <c r="F45"/>
  <c r="V44"/>
  <c r="T44"/>
  <c r="R44"/>
  <c r="O44"/>
  <c r="N44"/>
  <c r="L44"/>
  <c r="I44"/>
  <c r="H44"/>
  <c r="F44"/>
  <c r="V43"/>
  <c r="R43"/>
  <c r="O43"/>
  <c r="N43"/>
  <c r="L43"/>
  <c r="I43"/>
  <c r="H43"/>
  <c r="F43"/>
  <c r="V42"/>
  <c r="T42"/>
  <c r="R42"/>
  <c r="O42"/>
  <c r="N42"/>
  <c r="L42"/>
  <c r="I42"/>
  <c r="H42"/>
  <c r="F42"/>
  <c r="V41"/>
  <c r="T41"/>
  <c r="R41"/>
  <c r="O41"/>
  <c r="N41"/>
  <c r="L41"/>
  <c r="I41"/>
  <c r="H41"/>
  <c r="F41"/>
  <c r="V40"/>
  <c r="R40"/>
  <c r="O40"/>
  <c r="N40"/>
  <c r="L40"/>
  <c r="I40"/>
  <c r="H40"/>
  <c r="F40"/>
  <c r="V39"/>
  <c r="R39"/>
  <c r="O39"/>
  <c r="N39"/>
  <c r="L39"/>
  <c r="I39"/>
  <c r="H39"/>
  <c r="F39"/>
  <c r="V38"/>
  <c r="T38"/>
  <c r="R38"/>
  <c r="O38"/>
  <c r="N38"/>
  <c r="L38"/>
  <c r="I38"/>
  <c r="H38"/>
  <c r="F38"/>
  <c r="T37"/>
  <c r="R37"/>
  <c r="O37"/>
  <c r="N37"/>
  <c r="L37"/>
  <c r="I37"/>
  <c r="H37"/>
  <c r="F37"/>
  <c r="V36"/>
  <c r="T36"/>
  <c r="R36"/>
  <c r="O36"/>
  <c r="N36"/>
  <c r="L36"/>
  <c r="I36"/>
  <c r="H36"/>
  <c r="F36"/>
  <c r="V35"/>
  <c r="T35"/>
  <c r="R35"/>
  <c r="O35"/>
  <c r="N35"/>
  <c r="I35"/>
  <c r="H35"/>
  <c r="F35"/>
  <c r="V34"/>
  <c r="T34"/>
  <c r="R34"/>
  <c r="O34"/>
  <c r="N34"/>
  <c r="L34"/>
  <c r="I34"/>
  <c r="H34"/>
  <c r="F34"/>
  <c r="V33"/>
  <c r="T33"/>
  <c r="R33"/>
  <c r="O33"/>
  <c r="N33"/>
  <c r="L33"/>
  <c r="I33"/>
  <c r="H33"/>
  <c r="F33"/>
  <c r="V32"/>
  <c r="T32"/>
  <c r="R32"/>
  <c r="O32"/>
  <c r="N32"/>
  <c r="L32"/>
  <c r="I32"/>
  <c r="H32"/>
  <c r="F32"/>
  <c r="V31"/>
  <c r="T31"/>
  <c r="R31"/>
  <c r="N31"/>
  <c r="L31"/>
  <c r="I31"/>
  <c r="H31"/>
  <c r="F31"/>
  <c r="V30"/>
  <c r="T30"/>
  <c r="R30"/>
  <c r="O30"/>
  <c r="N30"/>
  <c r="L30"/>
  <c r="I30"/>
  <c r="H30"/>
  <c r="F30"/>
  <c r="V29"/>
  <c r="T29"/>
  <c r="R29"/>
  <c r="O29"/>
  <c r="N29"/>
  <c r="L29"/>
  <c r="I29"/>
  <c r="H29"/>
  <c r="F29"/>
  <c r="V28"/>
  <c r="T28"/>
  <c r="R28"/>
  <c r="O28"/>
  <c r="N28"/>
  <c r="L28"/>
  <c r="I28"/>
  <c r="H28"/>
  <c r="F28"/>
  <c r="V27"/>
  <c r="R27"/>
  <c r="O27"/>
  <c r="N27"/>
  <c r="L27"/>
  <c r="I27"/>
  <c r="H27"/>
  <c r="F27"/>
  <c r="V26"/>
  <c r="R26"/>
  <c r="O26"/>
  <c r="N26"/>
  <c r="L26"/>
  <c r="I26"/>
  <c r="H26"/>
  <c r="F26"/>
  <c r="V25"/>
  <c r="T25"/>
  <c r="R25"/>
  <c r="O25"/>
  <c r="N25"/>
  <c r="L25"/>
  <c r="I25"/>
  <c r="H25"/>
  <c r="F25"/>
  <c r="V24"/>
  <c r="T24"/>
  <c r="R24"/>
  <c r="O24"/>
  <c r="N24"/>
  <c r="L24"/>
  <c r="I24"/>
  <c r="H24"/>
  <c r="F24"/>
  <c r="V23"/>
  <c r="T23"/>
  <c r="R23"/>
  <c r="O23"/>
  <c r="N23"/>
  <c r="L23"/>
  <c r="I23"/>
  <c r="H23"/>
  <c r="F23"/>
  <c r="V22"/>
  <c r="T22"/>
  <c r="R22"/>
  <c r="O22"/>
  <c r="N22"/>
  <c r="L22"/>
  <c r="I22"/>
  <c r="H22"/>
  <c r="F22"/>
  <c r="V21"/>
  <c r="T21"/>
  <c r="R21"/>
  <c r="O21"/>
  <c r="N21"/>
  <c r="L21"/>
  <c r="I21"/>
  <c r="H21"/>
  <c r="F21"/>
  <c r="V20"/>
  <c r="T20"/>
  <c r="R20"/>
  <c r="O20"/>
  <c r="N20"/>
  <c r="L20"/>
  <c r="I20"/>
  <c r="H20"/>
  <c r="F20"/>
  <c r="V19"/>
  <c r="T19"/>
  <c r="R19"/>
  <c r="O19"/>
  <c r="N19"/>
  <c r="L19"/>
  <c r="I19"/>
  <c r="H19"/>
  <c r="F19"/>
  <c r="V18"/>
  <c r="T18"/>
  <c r="R18"/>
  <c r="O18"/>
  <c r="N18"/>
  <c r="L18"/>
  <c r="I18"/>
  <c r="H18"/>
  <c r="F18"/>
  <c r="V17"/>
  <c r="T17"/>
  <c r="R17"/>
  <c r="O17"/>
  <c r="N17"/>
  <c r="L17"/>
  <c r="I17"/>
  <c r="H17"/>
  <c r="F17"/>
  <c r="V16"/>
  <c r="T16"/>
  <c r="R16"/>
  <c r="O16"/>
  <c r="N16"/>
  <c r="L16"/>
  <c r="I16"/>
  <c r="H16"/>
  <c r="F16"/>
  <c r="V15"/>
  <c r="T15"/>
  <c r="R15"/>
  <c r="O15"/>
  <c r="N15"/>
  <c r="L15"/>
  <c r="I15"/>
  <c r="H15"/>
  <c r="F15"/>
  <c r="V14"/>
  <c r="T14"/>
  <c r="R14"/>
  <c r="O14"/>
  <c r="N14"/>
  <c r="L14"/>
  <c r="I14"/>
  <c r="H14"/>
  <c r="F14"/>
  <c r="V13"/>
  <c r="T13"/>
  <c r="R13"/>
  <c r="O13"/>
  <c r="N13"/>
  <c r="L13"/>
  <c r="I13"/>
  <c r="H13"/>
  <c r="F13"/>
  <c r="V12"/>
  <c r="T12"/>
  <c r="R12"/>
  <c r="O12"/>
  <c r="N12"/>
  <c r="L12"/>
  <c r="I12"/>
  <c r="H12"/>
  <c r="F12"/>
  <c r="V11"/>
  <c r="T11"/>
  <c r="R11"/>
  <c r="O11"/>
  <c r="N11"/>
  <c r="L11"/>
  <c r="I11"/>
  <c r="H11"/>
  <c r="F11"/>
  <c r="V10"/>
  <c r="T10"/>
  <c r="R10"/>
  <c r="O10"/>
  <c r="N10"/>
  <c r="L10"/>
  <c r="I10"/>
  <c r="H10"/>
  <c r="F10"/>
  <c r="V9"/>
  <c r="T9"/>
  <c r="R9"/>
  <c r="O9"/>
  <c r="N9"/>
  <c r="L9"/>
  <c r="I9"/>
  <c r="H9"/>
  <c r="F9"/>
  <c r="V8"/>
  <c r="T8"/>
  <c r="R8"/>
  <c r="O8"/>
  <c r="N8"/>
  <c r="L8"/>
  <c r="I8"/>
  <c r="H8"/>
  <c r="F8"/>
  <c r="V7"/>
  <c r="T7"/>
  <c r="R7"/>
  <c r="N7"/>
  <c r="L7"/>
  <c r="I7"/>
  <c r="H7"/>
  <c r="F7"/>
  <c r="V6"/>
  <c r="T6"/>
  <c r="R6"/>
  <c r="O6"/>
  <c r="N6"/>
  <c r="L6"/>
  <c r="I6"/>
  <c r="H6"/>
  <c r="F6"/>
  <c r="W216" i="15"/>
  <c r="V216"/>
  <c r="U216"/>
  <c r="S216"/>
  <c r="R216"/>
  <c r="Q216"/>
  <c r="O216"/>
  <c r="N216"/>
  <c r="M216"/>
  <c r="L216"/>
  <c r="K216"/>
  <c r="I216"/>
  <c r="H216"/>
  <c r="G216"/>
  <c r="F216"/>
  <c r="P215"/>
  <c r="J215"/>
  <c r="X215" s="1"/>
  <c r="T215" i="19" s="1"/>
  <c r="P214" i="15"/>
  <c r="J214"/>
  <c r="X214" s="1"/>
  <c r="T214" i="19" s="1"/>
  <c r="P213" i="15"/>
  <c r="J213"/>
  <c r="X213" s="1"/>
  <c r="T213" i="19" s="1"/>
  <c r="P212" i="15"/>
  <c r="J212"/>
  <c r="X212" s="1"/>
  <c r="T212" i="19" s="1"/>
  <c r="P211" i="15"/>
  <c r="J211"/>
  <c r="P210"/>
  <c r="J210"/>
  <c r="X210" s="1"/>
  <c r="T210" i="19" s="1"/>
  <c r="P209" i="15"/>
  <c r="J209"/>
  <c r="X209" s="1"/>
  <c r="T209" i="19" s="1"/>
  <c r="P208" i="15"/>
  <c r="J208"/>
  <c r="X208" s="1"/>
  <c r="T208" i="19" s="1"/>
  <c r="P207" i="15"/>
  <c r="J207"/>
  <c r="X207" s="1"/>
  <c r="T207" i="19" s="1"/>
  <c r="P206" i="15"/>
  <c r="J206"/>
  <c r="X206" s="1"/>
  <c r="T206" i="19" s="1"/>
  <c r="P205" i="15"/>
  <c r="J205"/>
  <c r="X205" s="1"/>
  <c r="T205" i="19" s="1"/>
  <c r="P204" i="15"/>
  <c r="J204"/>
  <c r="X204" s="1"/>
  <c r="T204" i="19" s="1"/>
  <c r="T203" i="16"/>
  <c r="P203" i="15"/>
  <c r="X203" s="1"/>
  <c r="T203" i="19" s="1"/>
  <c r="J203" i="15"/>
  <c r="P202"/>
  <c r="X202" s="1"/>
  <c r="T202" i="19" s="1"/>
  <c r="J202" i="15"/>
  <c r="P201"/>
  <c r="J201"/>
  <c r="P200"/>
  <c r="X200" s="1"/>
  <c r="T200" i="19" s="1"/>
  <c r="J200" i="15"/>
  <c r="P199"/>
  <c r="X199" s="1"/>
  <c r="T199" i="19" s="1"/>
  <c r="J199" i="15"/>
  <c r="P198"/>
  <c r="X198" s="1"/>
  <c r="T198" i="19" s="1"/>
  <c r="J198" i="15"/>
  <c r="P197"/>
  <c r="X197" s="1"/>
  <c r="T197" i="19" s="1"/>
  <c r="J197" i="15"/>
  <c r="P196"/>
  <c r="X196" s="1"/>
  <c r="T196" i="19" s="1"/>
  <c r="J196" i="15"/>
  <c r="T195" i="16"/>
  <c r="P195" i="15"/>
  <c r="J195"/>
  <c r="P194"/>
  <c r="X194" s="1"/>
  <c r="T194" i="19" s="1"/>
  <c r="J194" i="15"/>
  <c r="P193"/>
  <c r="J193"/>
  <c r="X193" s="1"/>
  <c r="T193" i="19" s="1"/>
  <c r="P192" i="15"/>
  <c r="J192"/>
  <c r="X192" s="1"/>
  <c r="T192" i="19" s="1"/>
  <c r="P191" i="15"/>
  <c r="J191"/>
  <c r="X191" s="1"/>
  <c r="T191" i="19" s="1"/>
  <c r="P190" i="15"/>
  <c r="J190"/>
  <c r="X190" s="1"/>
  <c r="T190" i="19" s="1"/>
  <c r="O189" i="16"/>
  <c r="J189" i="15"/>
  <c r="P188"/>
  <c r="J188"/>
  <c r="X188" s="1"/>
  <c r="T188" i="19" s="1"/>
  <c r="P187" i="15"/>
  <c r="J187"/>
  <c r="X187" s="1"/>
  <c r="T187" i="19" s="1"/>
  <c r="P186" i="15"/>
  <c r="J186"/>
  <c r="X186" s="1"/>
  <c r="T186" i="19" s="1"/>
  <c r="P185" i="15"/>
  <c r="J185"/>
  <c r="X185" s="1"/>
  <c r="T185" i="19" s="1"/>
  <c r="T184" i="16"/>
  <c r="P184" i="15"/>
  <c r="X184" s="1"/>
  <c r="T184" i="19" s="1"/>
  <c r="J184" i="15"/>
  <c r="P183"/>
  <c r="X183" s="1"/>
  <c r="T183" i="19" s="1"/>
  <c r="J183" i="15"/>
  <c r="P182"/>
  <c r="X182" s="1"/>
  <c r="T182" i="19" s="1"/>
  <c r="J182" i="15"/>
  <c r="T181" i="16"/>
  <c r="P181" i="15"/>
  <c r="J181"/>
  <c r="X181" s="1"/>
  <c r="T181" i="19" s="1"/>
  <c r="P180" i="15"/>
  <c r="J180"/>
  <c r="X180" s="1"/>
  <c r="T180" i="19" s="1"/>
  <c r="X179" i="15"/>
  <c r="T179" i="19" s="1"/>
  <c r="P179" i="15"/>
  <c r="J179"/>
  <c r="P178"/>
  <c r="J178"/>
  <c r="X178" s="1"/>
  <c r="T178" i="19" s="1"/>
  <c r="P177" i="15"/>
  <c r="X177" s="1"/>
  <c r="T177" i="19" s="1"/>
  <c r="J177" i="15"/>
  <c r="P176"/>
  <c r="J176"/>
  <c r="P175"/>
  <c r="J175"/>
  <c r="X175" s="1"/>
  <c r="T175" i="19" s="1"/>
  <c r="P174" i="15"/>
  <c r="J174"/>
  <c r="X174" s="1"/>
  <c r="T174" i="19" s="1"/>
  <c r="P173" i="15"/>
  <c r="X173" s="1"/>
  <c r="T173" i="19" s="1"/>
  <c r="T172" i="15"/>
  <c r="T172" i="16" s="1"/>
  <c r="P172" i="15"/>
  <c r="J172"/>
  <c r="P171"/>
  <c r="J171"/>
  <c r="X171" s="1"/>
  <c r="T171" i="19" s="1"/>
  <c r="P170" i="15"/>
  <c r="X170" s="1"/>
  <c r="T170" i="19" s="1"/>
  <c r="J170" i="15"/>
  <c r="P169"/>
  <c r="J169"/>
  <c r="X169" s="1"/>
  <c r="T169" i="19" s="1"/>
  <c r="T168" i="16"/>
  <c r="P168" i="15"/>
  <c r="J168"/>
  <c r="P167"/>
  <c r="J167"/>
  <c r="P166"/>
  <c r="J166"/>
  <c r="P165"/>
  <c r="J165"/>
  <c r="P164"/>
  <c r="J164"/>
  <c r="P163"/>
  <c r="J163"/>
  <c r="P162"/>
  <c r="J162"/>
  <c r="T161" i="16"/>
  <c r="P161" i="15"/>
  <c r="J161"/>
  <c r="P160"/>
  <c r="J160"/>
  <c r="P159"/>
  <c r="J159"/>
  <c r="W158"/>
  <c r="V158"/>
  <c r="U158"/>
  <c r="S158"/>
  <c r="R158"/>
  <c r="Q158"/>
  <c r="O158"/>
  <c r="N158"/>
  <c r="M158"/>
  <c r="L158"/>
  <c r="K158"/>
  <c r="I158"/>
  <c r="H158"/>
  <c r="G158"/>
  <c r="F158"/>
  <c r="P157"/>
  <c r="J157"/>
  <c r="X157" s="1"/>
  <c r="T157" i="19" s="1"/>
  <c r="P156" i="15"/>
  <c r="J156"/>
  <c r="X156" s="1"/>
  <c r="T156" i="19" s="1"/>
  <c r="P155" i="15"/>
  <c r="J155"/>
  <c r="X155" s="1"/>
  <c r="T155" i="19" s="1"/>
  <c r="P154" i="15"/>
  <c r="J154"/>
  <c r="X154" s="1"/>
  <c r="T154" i="19" s="1"/>
  <c r="P153" i="15"/>
  <c r="J153"/>
  <c r="X153" s="1"/>
  <c r="T153" i="19" s="1"/>
  <c r="P152" i="15"/>
  <c r="J152"/>
  <c r="X152" s="1"/>
  <c r="T152" i="19" s="1"/>
  <c r="P151" i="15"/>
  <c r="J151"/>
  <c r="X151" s="1"/>
  <c r="T151" i="19" s="1"/>
  <c r="P150" i="15"/>
  <c r="J150"/>
  <c r="X150" s="1"/>
  <c r="T150" i="19" s="1"/>
  <c r="P149" i="15"/>
  <c r="J149"/>
  <c r="X149" s="1"/>
  <c r="T149" i="19" s="1"/>
  <c r="T148" i="15"/>
  <c r="T158" s="1"/>
  <c r="P148"/>
  <c r="J148"/>
  <c r="X148" s="1"/>
  <c r="T148" i="19" s="1"/>
  <c r="P147" i="15"/>
  <c r="J147"/>
  <c r="X147" s="1"/>
  <c r="T147" i="19" s="1"/>
  <c r="P146" i="15"/>
  <c r="J146"/>
  <c r="X146" s="1"/>
  <c r="T146" i="19" s="1"/>
  <c r="P145" i="15"/>
  <c r="J145"/>
  <c r="X145" s="1"/>
  <c r="T145" i="19" s="1"/>
  <c r="P144" i="15"/>
  <c r="J144"/>
  <c r="X144" s="1"/>
  <c r="T144" i="19" s="1"/>
  <c r="P143" i="15"/>
  <c r="J143"/>
  <c r="X143" s="1"/>
  <c r="T143" i="19" s="1"/>
  <c r="P142" i="15"/>
  <c r="J142"/>
  <c r="X142" s="1"/>
  <c r="T142" i="19" s="1"/>
  <c r="P141" i="15"/>
  <c r="J141"/>
  <c r="X141" s="1"/>
  <c r="T141" i="19" s="1"/>
  <c r="P140" i="15"/>
  <c r="J140"/>
  <c r="X140" s="1"/>
  <c r="T140" i="19" s="1"/>
  <c r="P139" i="15"/>
  <c r="J139"/>
  <c r="X139" s="1"/>
  <c r="T139" i="19" s="1"/>
  <c r="P138" i="15"/>
  <c r="J138"/>
  <c r="X138" s="1"/>
  <c r="T138" i="19" s="1"/>
  <c r="P137" i="15"/>
  <c r="J137"/>
  <c r="X137" s="1"/>
  <c r="T137" i="19" s="1"/>
  <c r="P136" i="15"/>
  <c r="J136"/>
  <c r="X136" s="1"/>
  <c r="T136" i="19" s="1"/>
  <c r="P135" i="15"/>
  <c r="J135"/>
  <c r="W134"/>
  <c r="V134"/>
  <c r="U134"/>
  <c r="T134"/>
  <c r="S134"/>
  <c r="R134"/>
  <c r="Q134"/>
  <c r="O134"/>
  <c r="N134"/>
  <c r="M134"/>
  <c r="K134"/>
  <c r="I134"/>
  <c r="H134"/>
  <c r="G134"/>
  <c r="F134"/>
  <c r="P133"/>
  <c r="X133" s="1"/>
  <c r="T133" i="19" s="1"/>
  <c r="J133" i="15"/>
  <c r="P132"/>
  <c r="X132" s="1"/>
  <c r="T132" i="19" s="1"/>
  <c r="J132" i="15"/>
  <c r="P131"/>
  <c r="X131" s="1"/>
  <c r="T131" i="19" s="1"/>
  <c r="J131" i="15"/>
  <c r="P130"/>
  <c r="X130" s="1"/>
  <c r="T130" i="19" s="1"/>
  <c r="J130" i="15"/>
  <c r="P129"/>
  <c r="X129" s="1"/>
  <c r="T129" i="19" s="1"/>
  <c r="J129" i="15"/>
  <c r="P128"/>
  <c r="L128" i="16"/>
  <c r="J128" i="15"/>
  <c r="P127"/>
  <c r="J127"/>
  <c r="X127" s="1"/>
  <c r="T127" i="19" s="1"/>
  <c r="P126" i="15"/>
  <c r="J126"/>
  <c r="X126" s="1"/>
  <c r="T126" i="19" s="1"/>
  <c r="P125" i="15"/>
  <c r="J125"/>
  <c r="X125" s="1"/>
  <c r="T125" i="19" s="1"/>
  <c r="P124" i="15"/>
  <c r="J124"/>
  <c r="X124" s="1"/>
  <c r="T124" i="19" s="1"/>
  <c r="P123" i="15"/>
  <c r="J123"/>
  <c r="X123" s="1"/>
  <c r="T123" i="19" s="1"/>
  <c r="P122" i="15"/>
  <c r="J122"/>
  <c r="X122" s="1"/>
  <c r="T122" i="19" s="1"/>
  <c r="P121" i="15"/>
  <c r="J121"/>
  <c r="X121" s="1"/>
  <c r="T121" i="19" s="1"/>
  <c r="P120" i="15"/>
  <c r="J120"/>
  <c r="X120" s="1"/>
  <c r="T120" i="19" s="1"/>
  <c r="P119" i="15"/>
  <c r="J119"/>
  <c r="X119" s="1"/>
  <c r="T119" i="19" s="1"/>
  <c r="P118" i="15"/>
  <c r="J118"/>
  <c r="P117"/>
  <c r="X117" s="1"/>
  <c r="T117" i="19" s="1"/>
  <c r="J117" i="15"/>
  <c r="X116"/>
  <c r="T116" i="19" s="1"/>
  <c r="P116" i="15"/>
  <c r="J116"/>
  <c r="P115"/>
  <c r="X115" s="1"/>
  <c r="T115" i="19" s="1"/>
  <c r="J115" i="15"/>
  <c r="X114"/>
  <c r="T114" i="19" s="1"/>
  <c r="P114" i="15"/>
  <c r="J114"/>
  <c r="P113"/>
  <c r="X113" s="1"/>
  <c r="T113" i="19" s="1"/>
  <c r="J113" i="15"/>
  <c r="X112"/>
  <c r="T112" i="19" s="1"/>
  <c r="P112" i="15"/>
  <c r="J112"/>
  <c r="P111"/>
  <c r="X111" s="1"/>
  <c r="T111" i="19" s="1"/>
  <c r="J111" i="15"/>
  <c r="X110"/>
  <c r="T110" i="19" s="1"/>
  <c r="P110" i="15"/>
  <c r="J110"/>
  <c r="P109"/>
  <c r="X109" s="1"/>
  <c r="T109" i="19" s="1"/>
  <c r="J109" i="15"/>
  <c r="X108"/>
  <c r="T108" i="19" s="1"/>
  <c r="P108" i="15"/>
  <c r="J108"/>
  <c r="P107"/>
  <c r="X107" s="1"/>
  <c r="T107" i="19" s="1"/>
  <c r="J107" i="15"/>
  <c r="P106"/>
  <c r="J106"/>
  <c r="P105"/>
  <c r="J105"/>
  <c r="X105" s="1"/>
  <c r="T105" i="19" s="1"/>
  <c r="P104" i="15"/>
  <c r="J104"/>
  <c r="X104" s="1"/>
  <c r="T104" i="19" s="1"/>
  <c r="P103" i="15"/>
  <c r="J103"/>
  <c r="X103" s="1"/>
  <c r="T103" i="19" s="1"/>
  <c r="P102" i="15"/>
  <c r="J102"/>
  <c r="X102" s="1"/>
  <c r="T102" i="19" s="1"/>
  <c r="P101" i="15"/>
  <c r="J101"/>
  <c r="X101" s="1"/>
  <c r="T101" i="19" s="1"/>
  <c r="P100" i="15"/>
  <c r="J100"/>
  <c r="X100" s="1"/>
  <c r="T100" i="19" s="1"/>
  <c r="P99" i="15"/>
  <c r="J99"/>
  <c r="X99" s="1"/>
  <c r="T99" i="19" s="1"/>
  <c r="P98" i="15"/>
  <c r="J98"/>
  <c r="X98" s="1"/>
  <c r="T98" i="19" s="1"/>
  <c r="P97" i="15"/>
  <c r="J97"/>
  <c r="X97" s="1"/>
  <c r="T97" i="19" s="1"/>
  <c r="P96" i="15"/>
  <c r="J96"/>
  <c r="X96" s="1"/>
  <c r="T96" i="19" s="1"/>
  <c r="P95" i="15"/>
  <c r="J95"/>
  <c r="X95" s="1"/>
  <c r="T95" i="19" s="1"/>
  <c r="P94" i="15"/>
  <c r="J94"/>
  <c r="X94" s="1"/>
  <c r="T94" i="19" s="1"/>
  <c r="W93" i="15"/>
  <c r="V93"/>
  <c r="U93"/>
  <c r="T93"/>
  <c r="S93"/>
  <c r="R93"/>
  <c r="Q93"/>
  <c r="O93"/>
  <c r="N93"/>
  <c r="M93"/>
  <c r="L93"/>
  <c r="K93"/>
  <c r="I93"/>
  <c r="H93"/>
  <c r="G93"/>
  <c r="F93"/>
  <c r="P92"/>
  <c r="J92"/>
  <c r="P91"/>
  <c r="J91"/>
  <c r="P90"/>
  <c r="J90"/>
  <c r="P89"/>
  <c r="J89"/>
  <c r="P88"/>
  <c r="J88"/>
  <c r="P87"/>
  <c r="J87"/>
  <c r="P86"/>
  <c r="J86"/>
  <c r="P85"/>
  <c r="J85"/>
  <c r="P82" i="16"/>
  <c r="O79"/>
  <c r="X78" i="15"/>
  <c r="T78" i="19" s="1"/>
  <c r="P78" i="15"/>
  <c r="J78"/>
  <c r="P77"/>
  <c r="X77" s="1"/>
  <c r="T77" i="19" s="1"/>
  <c r="J77" i="15"/>
  <c r="X76"/>
  <c r="T76" i="19" s="1"/>
  <c r="P76" i="15"/>
  <c r="J76"/>
  <c r="P75"/>
  <c r="X75" s="1"/>
  <c r="T75" i="19" s="1"/>
  <c r="J75" i="15"/>
  <c r="X74"/>
  <c r="T74" i="19" s="1"/>
  <c r="P74" i="15"/>
  <c r="J74"/>
  <c r="P73"/>
  <c r="J73"/>
  <c r="P72"/>
  <c r="J72"/>
  <c r="X72" s="1"/>
  <c r="T72" i="19" s="1"/>
  <c r="P71" i="15"/>
  <c r="J71"/>
  <c r="X71" s="1"/>
  <c r="T71" i="19" s="1"/>
  <c r="P70" i="15"/>
  <c r="J70"/>
  <c r="X69"/>
  <c r="T69" i="19" s="1"/>
  <c r="W68" i="15"/>
  <c r="V68"/>
  <c r="U68"/>
  <c r="S68"/>
  <c r="R68"/>
  <c r="Q68"/>
  <c r="N68"/>
  <c r="M68"/>
  <c r="K68"/>
  <c r="I68"/>
  <c r="H68"/>
  <c r="G68"/>
  <c r="F68"/>
  <c r="P67"/>
  <c r="J67"/>
  <c r="P66"/>
  <c r="J66"/>
  <c r="P65"/>
  <c r="J65"/>
  <c r="P64"/>
  <c r="J64"/>
  <c r="P63"/>
  <c r="J63"/>
  <c r="P62"/>
  <c r="J62"/>
  <c r="P61"/>
  <c r="J61"/>
  <c r="P60"/>
  <c r="J60"/>
  <c r="P59"/>
  <c r="J59"/>
  <c r="P58"/>
  <c r="J58"/>
  <c r="O57"/>
  <c r="O57" i="16" s="1"/>
  <c r="J57" i="15"/>
  <c r="P56"/>
  <c r="J56"/>
  <c r="X56" s="1"/>
  <c r="T56" i="19" s="1"/>
  <c r="P55" i="15"/>
  <c r="J55"/>
  <c r="X55" s="1"/>
  <c r="T55" i="19" s="1"/>
  <c r="P54" i="15"/>
  <c r="J54"/>
  <c r="X54" s="1"/>
  <c r="T54" i="19" s="1"/>
  <c r="P53" i="15"/>
  <c r="J53"/>
  <c r="X53" s="1"/>
  <c r="T53" i="19" s="1"/>
  <c r="P52" i="15"/>
  <c r="J52"/>
  <c r="X52" s="1"/>
  <c r="T52" i="19" s="1"/>
  <c r="P51" i="15"/>
  <c r="J51"/>
  <c r="X51" s="1"/>
  <c r="T51" i="19" s="1"/>
  <c r="P50" i="15"/>
  <c r="J50"/>
  <c r="X50" s="1"/>
  <c r="T50" i="19" s="1"/>
  <c r="P49" i="15"/>
  <c r="J49"/>
  <c r="X49" s="1"/>
  <c r="T49" i="19" s="1"/>
  <c r="P48" i="15"/>
  <c r="J48"/>
  <c r="X48" s="1"/>
  <c r="T48" i="19" s="1"/>
  <c r="P47" i="15"/>
  <c r="J47"/>
  <c r="X47" s="1"/>
  <c r="T47" i="19" s="1"/>
  <c r="P46" i="15"/>
  <c r="J46"/>
  <c r="X46" s="1"/>
  <c r="T46" i="19" s="1"/>
  <c r="T45" i="16"/>
  <c r="P45" i="15"/>
  <c r="J45"/>
  <c r="P44"/>
  <c r="J44"/>
  <c r="P43"/>
  <c r="J43"/>
  <c r="J42"/>
  <c r="X42" s="1"/>
  <c r="T42" i="19" s="1"/>
  <c r="J41" i="15"/>
  <c r="X41" s="1"/>
  <c r="T41" i="19" s="1"/>
  <c r="P40" i="15"/>
  <c r="J40"/>
  <c r="T39"/>
  <c r="T39" i="16" s="1"/>
  <c r="P39" i="15"/>
  <c r="J39"/>
  <c r="P38"/>
  <c r="J38"/>
  <c r="X38" s="1"/>
  <c r="T38" i="19" s="1"/>
  <c r="V37" i="16"/>
  <c r="P37" i="15"/>
  <c r="J37"/>
  <c r="P36"/>
  <c r="J36"/>
  <c r="P35"/>
  <c r="L35"/>
  <c r="J35"/>
  <c r="P34"/>
  <c r="J34"/>
  <c r="P33"/>
  <c r="J33"/>
  <c r="P32"/>
  <c r="J32"/>
  <c r="O31"/>
  <c r="O31" i="16" s="1"/>
  <c r="J31" i="15"/>
  <c r="P30"/>
  <c r="J30"/>
  <c r="X30" s="1"/>
  <c r="T30" i="19" s="1"/>
  <c r="P29" i="15"/>
  <c r="J29"/>
  <c r="X29" s="1"/>
  <c r="T29" i="19" s="1"/>
  <c r="P28" i="15"/>
  <c r="X28" s="1"/>
  <c r="T28" i="19" s="1"/>
  <c r="J28" i="15"/>
  <c r="X27"/>
  <c r="T27" i="19" s="1"/>
  <c r="P27" i="15"/>
  <c r="J27"/>
  <c r="P26"/>
  <c r="X26" s="1"/>
  <c r="T26" i="19" s="1"/>
  <c r="J26" i="15"/>
  <c r="X25"/>
  <c r="T25" i="19" s="1"/>
  <c r="P25" i="15"/>
  <c r="J25"/>
  <c r="P24"/>
  <c r="X24" s="1"/>
  <c r="T24" i="19" s="1"/>
  <c r="J24" i="15"/>
  <c r="X23"/>
  <c r="T23" i="19" s="1"/>
  <c r="P23" i="15"/>
  <c r="J23"/>
  <c r="P22"/>
  <c r="X22" s="1"/>
  <c r="T22" i="19" s="1"/>
  <c r="J22" i="15"/>
  <c r="X21"/>
  <c r="T21" i="19" s="1"/>
  <c r="P21" i="15"/>
  <c r="J21"/>
  <c r="P20"/>
  <c r="X20" s="1"/>
  <c r="T20" i="19" s="1"/>
  <c r="J20" i="15"/>
  <c r="X19"/>
  <c r="T19" i="19" s="1"/>
  <c r="P19" i="15"/>
  <c r="J19"/>
  <c r="P18"/>
  <c r="X18" s="1"/>
  <c r="T18" i="19" s="1"/>
  <c r="J18" i="15"/>
  <c r="X17"/>
  <c r="T17" i="19" s="1"/>
  <c r="P17" i="15"/>
  <c r="J17"/>
  <c r="P16"/>
  <c r="X16" s="1"/>
  <c r="T16" i="19" s="1"/>
  <c r="J16" i="15"/>
  <c r="X15"/>
  <c r="T15" i="19" s="1"/>
  <c r="P15" i="15"/>
  <c r="J15"/>
  <c r="P14"/>
  <c r="X14" s="1"/>
  <c r="T14" i="19" s="1"/>
  <c r="J14" i="15"/>
  <c r="X13"/>
  <c r="T13" i="19" s="1"/>
  <c r="P13" i="15"/>
  <c r="J13"/>
  <c r="P12"/>
  <c r="X12" s="1"/>
  <c r="T12" i="19" s="1"/>
  <c r="J12" i="15"/>
  <c r="X11"/>
  <c r="T11" i="19" s="1"/>
  <c r="P11" i="15"/>
  <c r="J11"/>
  <c r="P10"/>
  <c r="X10" s="1"/>
  <c r="T10" i="19" s="1"/>
  <c r="J10" i="15"/>
  <c r="X9"/>
  <c r="T9" i="19" s="1"/>
  <c r="P9" i="15"/>
  <c r="J9"/>
  <c r="P8"/>
  <c r="X8" s="1"/>
  <c r="T8" i="19" s="1"/>
  <c r="J8" i="15"/>
  <c r="O7"/>
  <c r="O7" i="16" s="1"/>
  <c r="J7" i="15"/>
  <c r="P6"/>
  <c r="J6"/>
  <c r="W216" i="14"/>
  <c r="V216"/>
  <c r="U216"/>
  <c r="T216"/>
  <c r="S216"/>
  <c r="R216"/>
  <c r="Q216"/>
  <c r="O216"/>
  <c r="N216"/>
  <c r="M216"/>
  <c r="L216"/>
  <c r="K216"/>
  <c r="I216"/>
  <c r="H216"/>
  <c r="G216"/>
  <c r="F216"/>
  <c r="P215"/>
  <c r="J215"/>
  <c r="X215" s="1"/>
  <c r="P214"/>
  <c r="J214"/>
  <c r="X214" s="1"/>
  <c r="P213"/>
  <c r="J213"/>
  <c r="X213" s="1"/>
  <c r="P212"/>
  <c r="J212"/>
  <c r="X212" s="1"/>
  <c r="P211"/>
  <c r="J211"/>
  <c r="X211" s="1"/>
  <c r="P210"/>
  <c r="J210"/>
  <c r="X210" s="1"/>
  <c r="P209"/>
  <c r="J209"/>
  <c r="X209" s="1"/>
  <c r="P208"/>
  <c r="J208"/>
  <c r="X208" s="1"/>
  <c r="P207"/>
  <c r="J207"/>
  <c r="X207" s="1"/>
  <c r="P206"/>
  <c r="J206"/>
  <c r="X206" s="1"/>
  <c r="P205"/>
  <c r="J205"/>
  <c r="X205" s="1"/>
  <c r="P204"/>
  <c r="J204"/>
  <c r="X204" s="1"/>
  <c r="P203"/>
  <c r="J203"/>
  <c r="X203" s="1"/>
  <c r="P202"/>
  <c r="J202"/>
  <c r="X202" s="1"/>
  <c r="P201"/>
  <c r="J201"/>
  <c r="X201" s="1"/>
  <c r="P200"/>
  <c r="J200"/>
  <c r="X200" s="1"/>
  <c r="P199"/>
  <c r="J199"/>
  <c r="X199" s="1"/>
  <c r="P198"/>
  <c r="J198"/>
  <c r="X198" s="1"/>
  <c r="P197"/>
  <c r="J197"/>
  <c r="X197" s="1"/>
  <c r="P196"/>
  <c r="J196"/>
  <c r="X196" s="1"/>
  <c r="P195"/>
  <c r="J195"/>
  <c r="X195" s="1"/>
  <c r="P194"/>
  <c r="J194"/>
  <c r="X194" s="1"/>
  <c r="P193"/>
  <c r="J193"/>
  <c r="X193" s="1"/>
  <c r="P192"/>
  <c r="J192"/>
  <c r="X192" s="1"/>
  <c r="P191"/>
  <c r="J191"/>
  <c r="X191" s="1"/>
  <c r="P190"/>
  <c r="J190"/>
  <c r="X190" s="1"/>
  <c r="P189"/>
  <c r="J189"/>
  <c r="X189" s="1"/>
  <c r="P188"/>
  <c r="J188"/>
  <c r="X188" s="1"/>
  <c r="P187"/>
  <c r="J187"/>
  <c r="X187" s="1"/>
  <c r="P186"/>
  <c r="J186"/>
  <c r="X186" s="1"/>
  <c r="P185"/>
  <c r="J185"/>
  <c r="X185" s="1"/>
  <c r="P184"/>
  <c r="J184"/>
  <c r="P183"/>
  <c r="J183"/>
  <c r="X183" s="1"/>
  <c r="P182"/>
  <c r="J182"/>
  <c r="X182" s="1"/>
  <c r="P181"/>
  <c r="J181"/>
  <c r="X181" s="1"/>
  <c r="P180"/>
  <c r="J180"/>
  <c r="X180" s="1"/>
  <c r="P179"/>
  <c r="J179"/>
  <c r="X179" s="1"/>
  <c r="P178"/>
  <c r="J178"/>
  <c r="X178" s="1"/>
  <c r="P177"/>
  <c r="J177"/>
  <c r="X177" s="1"/>
  <c r="P176"/>
  <c r="J176"/>
  <c r="X176" s="1"/>
  <c r="P175"/>
  <c r="J175"/>
  <c r="X175" s="1"/>
  <c r="P174"/>
  <c r="J174"/>
  <c r="X174" s="1"/>
  <c r="P173"/>
  <c r="J173"/>
  <c r="X173" s="1"/>
  <c r="P172"/>
  <c r="J172"/>
  <c r="X172" s="1"/>
  <c r="P171"/>
  <c r="J171"/>
  <c r="X171" s="1"/>
  <c r="P170"/>
  <c r="J170"/>
  <c r="X170" s="1"/>
  <c r="P169"/>
  <c r="J169"/>
  <c r="X169" s="1"/>
  <c r="P168"/>
  <c r="J168"/>
  <c r="X168" s="1"/>
  <c r="P167"/>
  <c r="J167"/>
  <c r="X167" s="1"/>
  <c r="P166"/>
  <c r="J166"/>
  <c r="X166" s="1"/>
  <c r="P165"/>
  <c r="J165"/>
  <c r="X165" s="1"/>
  <c r="P164"/>
  <c r="J164"/>
  <c r="X164" s="1"/>
  <c r="P163"/>
  <c r="J163"/>
  <c r="X163" s="1"/>
  <c r="P162"/>
  <c r="J162"/>
  <c r="X162" s="1"/>
  <c r="P161"/>
  <c r="J161"/>
  <c r="X161" s="1"/>
  <c r="P160"/>
  <c r="J160"/>
  <c r="X160" s="1"/>
  <c r="P159"/>
  <c r="P216" s="1"/>
  <c r="J159"/>
  <c r="W158"/>
  <c r="V158"/>
  <c r="U158"/>
  <c r="S158"/>
  <c r="R158"/>
  <c r="Q158"/>
  <c r="O158"/>
  <c r="N158"/>
  <c r="M158"/>
  <c r="L158"/>
  <c r="K158"/>
  <c r="I158"/>
  <c r="H158"/>
  <c r="G158"/>
  <c r="F158"/>
  <c r="T157"/>
  <c r="X157" s="1"/>
  <c r="P157"/>
  <c r="J157"/>
  <c r="X156"/>
  <c r="P156"/>
  <c r="J156"/>
  <c r="X155"/>
  <c r="P155"/>
  <c r="J155"/>
  <c r="X154"/>
  <c r="T154"/>
  <c r="P154"/>
  <c r="J154"/>
  <c r="P153"/>
  <c r="J153"/>
  <c r="X153" s="1"/>
  <c r="P152"/>
  <c r="J152"/>
  <c r="X152" s="1"/>
  <c r="P151"/>
  <c r="J151"/>
  <c r="X151" s="1"/>
  <c r="P150"/>
  <c r="J150"/>
  <c r="X150" s="1"/>
  <c r="P149"/>
  <c r="J149"/>
  <c r="X149" s="1"/>
  <c r="P148"/>
  <c r="P158" s="1"/>
  <c r="J148"/>
  <c r="X148" s="1"/>
  <c r="T158"/>
  <c r="P147"/>
  <c r="J147"/>
  <c r="X146"/>
  <c r="P146"/>
  <c r="J146"/>
  <c r="X145"/>
  <c r="P145"/>
  <c r="J145"/>
  <c r="X144"/>
  <c r="P144"/>
  <c r="J144"/>
  <c r="X143"/>
  <c r="P143"/>
  <c r="J143"/>
  <c r="T142"/>
  <c r="P142"/>
  <c r="J142"/>
  <c r="X142" s="1"/>
  <c r="P141"/>
  <c r="J141"/>
  <c r="X141" s="1"/>
  <c r="P140"/>
  <c r="J140"/>
  <c r="X140" s="1"/>
  <c r="P139"/>
  <c r="J139"/>
  <c r="X139" s="1"/>
  <c r="P138"/>
  <c r="J138"/>
  <c r="X138" s="1"/>
  <c r="P137"/>
  <c r="J137"/>
  <c r="X137" s="1"/>
  <c r="P136"/>
  <c r="J136"/>
  <c r="X136" s="1"/>
  <c r="P135"/>
  <c r="J135"/>
  <c r="J158" s="1"/>
  <c r="W134"/>
  <c r="V134"/>
  <c r="U134"/>
  <c r="T134"/>
  <c r="S134"/>
  <c r="R134"/>
  <c r="Q134"/>
  <c r="O134"/>
  <c r="N134"/>
  <c r="M134"/>
  <c r="K134"/>
  <c r="J134"/>
  <c r="I134"/>
  <c r="H134"/>
  <c r="G134"/>
  <c r="F134"/>
  <c r="P133"/>
  <c r="X133" s="1"/>
  <c r="J133"/>
  <c r="P132"/>
  <c r="X132" s="1"/>
  <c r="J132"/>
  <c r="P131"/>
  <c r="X131" s="1"/>
  <c r="J131"/>
  <c r="P130"/>
  <c r="X130" s="1"/>
  <c r="J130"/>
  <c r="P129"/>
  <c r="X129" s="1"/>
  <c r="J129"/>
  <c r="P128"/>
  <c r="X128" s="1"/>
  <c r="J128"/>
  <c r="P127"/>
  <c r="X127" s="1"/>
  <c r="J127"/>
  <c r="P126"/>
  <c r="X126" s="1"/>
  <c r="J126"/>
  <c r="P125"/>
  <c r="X125" s="1"/>
  <c r="J125"/>
  <c r="P124"/>
  <c r="X124" s="1"/>
  <c r="J124"/>
  <c r="P123"/>
  <c r="X123" s="1"/>
  <c r="J123"/>
  <c r="P122"/>
  <c r="X122" s="1"/>
  <c r="J122"/>
  <c r="P121"/>
  <c r="X121" s="1"/>
  <c r="J121"/>
  <c r="P120"/>
  <c r="X120" s="1"/>
  <c r="J120"/>
  <c r="P119"/>
  <c r="X119" s="1"/>
  <c r="J119"/>
  <c r="P118"/>
  <c r="X118" s="1"/>
  <c r="J118"/>
  <c r="P117"/>
  <c r="X117" s="1"/>
  <c r="J117"/>
  <c r="P116"/>
  <c r="X116" s="1"/>
  <c r="J116"/>
  <c r="P115"/>
  <c r="X115" s="1"/>
  <c r="J115"/>
  <c r="P114"/>
  <c r="X114" s="1"/>
  <c r="J114"/>
  <c r="P113"/>
  <c r="X113" s="1"/>
  <c r="J113"/>
  <c r="P112"/>
  <c r="X112" s="1"/>
  <c r="J112"/>
  <c r="P111"/>
  <c r="X111" s="1"/>
  <c r="J111"/>
  <c r="P110"/>
  <c r="X110" s="1"/>
  <c r="J110"/>
  <c r="P109"/>
  <c r="X109" s="1"/>
  <c r="J109"/>
  <c r="P108"/>
  <c r="X108" s="1"/>
  <c r="J108"/>
  <c r="P107"/>
  <c r="X107" s="1"/>
  <c r="J107"/>
  <c r="P106"/>
  <c r="X106" s="1"/>
  <c r="J106"/>
  <c r="P105"/>
  <c r="J105"/>
  <c r="P104"/>
  <c r="X104" s="1"/>
  <c r="J104"/>
  <c r="P103"/>
  <c r="X103" s="1"/>
  <c r="J103"/>
  <c r="P102"/>
  <c r="X102" s="1"/>
  <c r="J102"/>
  <c r="P101"/>
  <c r="L134"/>
  <c r="J101"/>
  <c r="X101" s="1"/>
  <c r="X100"/>
  <c r="P100"/>
  <c r="J100"/>
  <c r="X99"/>
  <c r="P99"/>
  <c r="J99"/>
  <c r="X98"/>
  <c r="P98"/>
  <c r="J98"/>
  <c r="X97"/>
  <c r="P97"/>
  <c r="J97"/>
  <c r="X96"/>
  <c r="P96"/>
  <c r="J96"/>
  <c r="X95"/>
  <c r="P95"/>
  <c r="J95"/>
  <c r="X94"/>
  <c r="P94"/>
  <c r="J94"/>
  <c r="W93"/>
  <c r="V93"/>
  <c r="U93"/>
  <c r="S93"/>
  <c r="R93"/>
  <c r="Q93"/>
  <c r="O93"/>
  <c r="N93"/>
  <c r="M93"/>
  <c r="L93"/>
  <c r="K93"/>
  <c r="K217" s="1"/>
  <c r="I93"/>
  <c r="H93"/>
  <c r="G93"/>
  <c r="F93"/>
  <c r="P92"/>
  <c r="J92"/>
  <c r="X92" s="1"/>
  <c r="P91"/>
  <c r="J91"/>
  <c r="X91" s="1"/>
  <c r="P90"/>
  <c r="J90"/>
  <c r="X90" s="1"/>
  <c r="P89"/>
  <c r="J89"/>
  <c r="X89" s="1"/>
  <c r="P88"/>
  <c r="J88"/>
  <c r="X88" s="1"/>
  <c r="P87"/>
  <c r="J87"/>
  <c r="X87" s="1"/>
  <c r="P86"/>
  <c r="J86"/>
  <c r="X86" s="1"/>
  <c r="P85"/>
  <c r="J85"/>
  <c r="X85" s="1"/>
  <c r="P84"/>
  <c r="J84"/>
  <c r="X84" s="1"/>
  <c r="P78"/>
  <c r="X78" s="1"/>
  <c r="J78"/>
  <c r="P77"/>
  <c r="X77" s="1"/>
  <c r="J77"/>
  <c r="P76"/>
  <c r="J76"/>
  <c r="T93"/>
  <c r="P75"/>
  <c r="J75"/>
  <c r="X74"/>
  <c r="P74"/>
  <c r="J74"/>
  <c r="X73"/>
  <c r="P73"/>
  <c r="J73"/>
  <c r="X72"/>
  <c r="P72"/>
  <c r="J72"/>
  <c r="X71"/>
  <c r="P71"/>
  <c r="J71"/>
  <c r="X70"/>
  <c r="P70"/>
  <c r="J70"/>
  <c r="X69"/>
  <c r="P69"/>
  <c r="J69"/>
  <c r="W68"/>
  <c r="V68"/>
  <c r="U68"/>
  <c r="S68"/>
  <c r="R68"/>
  <c r="Q68"/>
  <c r="O68"/>
  <c r="N68"/>
  <c r="M68"/>
  <c r="L68"/>
  <c r="K68"/>
  <c r="I68"/>
  <c r="H68"/>
  <c r="G68"/>
  <c r="F68"/>
  <c r="P67"/>
  <c r="J67"/>
  <c r="X67" s="1"/>
  <c r="P66"/>
  <c r="J66"/>
  <c r="X66" s="1"/>
  <c r="P65"/>
  <c r="J65"/>
  <c r="X65" s="1"/>
  <c r="P64"/>
  <c r="J64"/>
  <c r="X64" s="1"/>
  <c r="P63"/>
  <c r="J63"/>
  <c r="X63" s="1"/>
  <c r="P62"/>
  <c r="J62"/>
  <c r="X62" s="1"/>
  <c r="P61"/>
  <c r="J61"/>
  <c r="X61" s="1"/>
  <c r="P60"/>
  <c r="J60"/>
  <c r="X60" s="1"/>
  <c r="P59"/>
  <c r="J59"/>
  <c r="X59" s="1"/>
  <c r="P58"/>
  <c r="J58"/>
  <c r="X58" s="1"/>
  <c r="P57"/>
  <c r="J57"/>
  <c r="X57" s="1"/>
  <c r="P56"/>
  <c r="J56"/>
  <c r="X56" s="1"/>
  <c r="P55"/>
  <c r="J55"/>
  <c r="X55" s="1"/>
  <c r="P54"/>
  <c r="J54"/>
  <c r="X54" s="1"/>
  <c r="P53"/>
  <c r="J53"/>
  <c r="X53" s="1"/>
  <c r="P52"/>
  <c r="J52"/>
  <c r="X52" s="1"/>
  <c r="P51"/>
  <c r="J51"/>
  <c r="X51" s="1"/>
  <c r="P50"/>
  <c r="J50"/>
  <c r="X50" s="1"/>
  <c r="P49"/>
  <c r="J49"/>
  <c r="X49" s="1"/>
  <c r="P48"/>
  <c r="J48"/>
  <c r="X48" s="1"/>
  <c r="P47"/>
  <c r="J47"/>
  <c r="X47" s="1"/>
  <c r="P46"/>
  <c r="J46"/>
  <c r="X46" s="1"/>
  <c r="P45"/>
  <c r="J45"/>
  <c r="X45" s="1"/>
  <c r="P44"/>
  <c r="J44"/>
  <c r="X44" s="1"/>
  <c r="T43"/>
  <c r="P43"/>
  <c r="J43"/>
  <c r="X43" s="1"/>
  <c r="P42"/>
  <c r="X42" s="1"/>
  <c r="J42"/>
  <c r="P41"/>
  <c r="P68" s="1"/>
  <c r="J41"/>
  <c r="T40"/>
  <c r="T68" s="1"/>
  <c r="P40"/>
  <c r="J40"/>
  <c r="X39"/>
  <c r="P39"/>
  <c r="J39"/>
  <c r="X38"/>
  <c r="P38"/>
  <c r="J38"/>
  <c r="X37"/>
  <c r="P37"/>
  <c r="J37"/>
  <c r="X36"/>
  <c r="P36"/>
  <c r="J36"/>
  <c r="X35"/>
  <c r="P35"/>
  <c r="J35"/>
  <c r="X34"/>
  <c r="P34"/>
  <c r="J34"/>
  <c r="X33"/>
  <c r="P33"/>
  <c r="J33"/>
  <c r="X32"/>
  <c r="P32"/>
  <c r="J32"/>
  <c r="X31"/>
  <c r="P31"/>
  <c r="J31"/>
  <c r="X30"/>
  <c r="P30"/>
  <c r="J30"/>
  <c r="X29"/>
  <c r="P29"/>
  <c r="J29"/>
  <c r="X28"/>
  <c r="P28"/>
  <c r="J28"/>
  <c r="X27"/>
  <c r="P27"/>
  <c r="J27"/>
  <c r="X26"/>
  <c r="P26"/>
  <c r="J26"/>
  <c r="X25"/>
  <c r="P25"/>
  <c r="J25"/>
  <c r="X24"/>
  <c r="P24"/>
  <c r="J24"/>
  <c r="X23"/>
  <c r="P23"/>
  <c r="J23"/>
  <c r="X22"/>
  <c r="P22"/>
  <c r="J22"/>
  <c r="X21"/>
  <c r="P21"/>
  <c r="J21"/>
  <c r="X20"/>
  <c r="P20"/>
  <c r="J20"/>
  <c r="X19"/>
  <c r="P19"/>
  <c r="J19"/>
  <c r="X18"/>
  <c r="P18"/>
  <c r="J18"/>
  <c r="X17"/>
  <c r="P17"/>
  <c r="J17"/>
  <c r="X16"/>
  <c r="P16"/>
  <c r="J16"/>
  <c r="X15"/>
  <c r="P15"/>
  <c r="J15"/>
  <c r="X14"/>
  <c r="P14"/>
  <c r="J14"/>
  <c r="X13"/>
  <c r="P13"/>
  <c r="J13"/>
  <c r="X12"/>
  <c r="P12"/>
  <c r="J12"/>
  <c r="X11"/>
  <c r="P11"/>
  <c r="J11"/>
  <c r="X10"/>
  <c r="P10"/>
  <c r="J10"/>
  <c r="X9"/>
  <c r="P9"/>
  <c r="J9"/>
  <c r="X8"/>
  <c r="P8"/>
  <c r="J8"/>
  <c r="X7"/>
  <c r="P7"/>
  <c r="J7"/>
  <c r="X6"/>
  <c r="P6"/>
  <c r="J6"/>
  <c r="W216" i="13"/>
  <c r="V216"/>
  <c r="U216"/>
  <c r="T216"/>
  <c r="S216"/>
  <c r="R216"/>
  <c r="Q216"/>
  <c r="O216"/>
  <c r="N216"/>
  <c r="M216"/>
  <c r="L216"/>
  <c r="K216"/>
  <c r="I216"/>
  <c r="H216"/>
  <c r="G216"/>
  <c r="F216"/>
  <c r="X215"/>
  <c r="P215"/>
  <c r="J215"/>
  <c r="X214"/>
  <c r="P214"/>
  <c r="J214"/>
  <c r="X213"/>
  <c r="P213"/>
  <c r="J213"/>
  <c r="X212"/>
  <c r="P212"/>
  <c r="J212"/>
  <c r="X211"/>
  <c r="P211"/>
  <c r="J211"/>
  <c r="X210"/>
  <c r="P210"/>
  <c r="J210"/>
  <c r="X209"/>
  <c r="P209"/>
  <c r="J209"/>
  <c r="X208"/>
  <c r="P208"/>
  <c r="J208"/>
  <c r="X207"/>
  <c r="P207"/>
  <c r="J207"/>
  <c r="X206"/>
  <c r="P206"/>
  <c r="J206"/>
  <c r="X205"/>
  <c r="P205"/>
  <c r="J205"/>
  <c r="X204"/>
  <c r="P204"/>
  <c r="J204"/>
  <c r="X203"/>
  <c r="P203"/>
  <c r="J203"/>
  <c r="X202"/>
  <c r="P202"/>
  <c r="J202"/>
  <c r="X201"/>
  <c r="P201"/>
  <c r="J201"/>
  <c r="X200"/>
  <c r="P200"/>
  <c r="J200"/>
  <c r="X199"/>
  <c r="P199"/>
  <c r="J199"/>
  <c r="X198"/>
  <c r="P198"/>
  <c r="J198"/>
  <c r="X197"/>
  <c r="P197"/>
  <c r="J197"/>
  <c r="X196"/>
  <c r="P196"/>
  <c r="J196"/>
  <c r="X195"/>
  <c r="P195"/>
  <c r="J195"/>
  <c r="X194"/>
  <c r="P194"/>
  <c r="J194"/>
  <c r="X193"/>
  <c r="P193"/>
  <c r="J193"/>
  <c r="X192"/>
  <c r="P192"/>
  <c r="J192"/>
  <c r="X191"/>
  <c r="P191"/>
  <c r="J191"/>
  <c r="P190"/>
  <c r="J190"/>
  <c r="X190" s="1"/>
  <c r="P189"/>
  <c r="J189"/>
  <c r="X189" s="1"/>
  <c r="P188"/>
  <c r="J188"/>
  <c r="X188" s="1"/>
  <c r="P187"/>
  <c r="J187"/>
  <c r="X187" s="1"/>
  <c r="P186"/>
  <c r="J186"/>
  <c r="X186" s="1"/>
  <c r="P185"/>
  <c r="J185"/>
  <c r="X185" s="1"/>
  <c r="P184"/>
  <c r="J184"/>
  <c r="X184" s="1"/>
  <c r="P183"/>
  <c r="J183"/>
  <c r="X183" s="1"/>
  <c r="P182"/>
  <c r="J182"/>
  <c r="X182" s="1"/>
  <c r="P181"/>
  <c r="J181"/>
  <c r="X181" s="1"/>
  <c r="P180"/>
  <c r="J180"/>
  <c r="X180" s="1"/>
  <c r="P179"/>
  <c r="J179"/>
  <c r="X179" s="1"/>
  <c r="P178"/>
  <c r="J178"/>
  <c r="X178" s="1"/>
  <c r="P177"/>
  <c r="J177"/>
  <c r="X177" s="1"/>
  <c r="P176"/>
  <c r="J176"/>
  <c r="X176" s="1"/>
  <c r="P175"/>
  <c r="J175"/>
  <c r="X175" s="1"/>
  <c r="P174"/>
  <c r="J174"/>
  <c r="X174" s="1"/>
  <c r="P173"/>
  <c r="J173"/>
  <c r="X173" s="1"/>
  <c r="P172"/>
  <c r="J172"/>
  <c r="X172" s="1"/>
  <c r="P171"/>
  <c r="J171"/>
  <c r="X171" s="1"/>
  <c r="P170"/>
  <c r="J170"/>
  <c r="X170" s="1"/>
  <c r="P169"/>
  <c r="J169"/>
  <c r="X169" s="1"/>
  <c r="P168"/>
  <c r="J168"/>
  <c r="X168" s="1"/>
  <c r="P167"/>
  <c r="J167"/>
  <c r="X167" s="1"/>
  <c r="P166"/>
  <c r="J166"/>
  <c r="X166" s="1"/>
  <c r="P165"/>
  <c r="J165"/>
  <c r="X165" s="1"/>
  <c r="P164"/>
  <c r="J164"/>
  <c r="X164" s="1"/>
  <c r="P163"/>
  <c r="J163"/>
  <c r="X163" s="1"/>
  <c r="P162"/>
  <c r="J162"/>
  <c r="X162" s="1"/>
  <c r="P161"/>
  <c r="J161"/>
  <c r="X161" s="1"/>
  <c r="P160"/>
  <c r="J160"/>
  <c r="X160" s="1"/>
  <c r="P159"/>
  <c r="P216" s="1"/>
  <c r="J159"/>
  <c r="J216" s="1"/>
  <c r="W158"/>
  <c r="V158"/>
  <c r="U158"/>
  <c r="S158"/>
  <c r="R158"/>
  <c r="Q158"/>
  <c r="P158"/>
  <c r="O158"/>
  <c r="N158"/>
  <c r="M158"/>
  <c r="L158"/>
  <c r="K158"/>
  <c r="I158"/>
  <c r="H158"/>
  <c r="G158"/>
  <c r="F158"/>
  <c r="T157"/>
  <c r="P157"/>
  <c r="J157"/>
  <c r="X156"/>
  <c r="P156"/>
  <c r="J156"/>
  <c r="X155"/>
  <c r="P155"/>
  <c r="J155"/>
  <c r="T154"/>
  <c r="P154"/>
  <c r="J154"/>
  <c r="X154" s="1"/>
  <c r="P153"/>
  <c r="J153"/>
  <c r="X153" s="1"/>
  <c r="P152"/>
  <c r="J152"/>
  <c r="X152" s="1"/>
  <c r="P151"/>
  <c r="J151"/>
  <c r="X151" s="1"/>
  <c r="P150"/>
  <c r="J150"/>
  <c r="X150" s="1"/>
  <c r="P149"/>
  <c r="J149"/>
  <c r="X149" s="1"/>
  <c r="P148"/>
  <c r="X148" s="1"/>
  <c r="J148"/>
  <c r="T147"/>
  <c r="T158" s="1"/>
  <c r="P147"/>
  <c r="J147"/>
  <c r="X146"/>
  <c r="P146"/>
  <c r="J146"/>
  <c r="X145"/>
  <c r="P145"/>
  <c r="J145"/>
  <c r="X144"/>
  <c r="P144"/>
  <c r="J144"/>
  <c r="X143"/>
  <c r="P143"/>
  <c r="J143"/>
  <c r="X142"/>
  <c r="T142"/>
  <c r="P142"/>
  <c r="J142"/>
  <c r="P141"/>
  <c r="J141"/>
  <c r="X141" s="1"/>
  <c r="P140"/>
  <c r="J140"/>
  <c r="X140" s="1"/>
  <c r="P139"/>
  <c r="J139"/>
  <c r="X139" s="1"/>
  <c r="P138"/>
  <c r="J138"/>
  <c r="X138" s="1"/>
  <c r="P137"/>
  <c r="J137"/>
  <c r="X137" s="1"/>
  <c r="P136"/>
  <c r="J136"/>
  <c r="X136" s="1"/>
  <c r="P135"/>
  <c r="J135"/>
  <c r="X135" s="1"/>
  <c r="W134"/>
  <c r="V134"/>
  <c r="U134"/>
  <c r="T134"/>
  <c r="S134"/>
  <c r="R134"/>
  <c r="Q134"/>
  <c r="O134"/>
  <c r="N134"/>
  <c r="M134"/>
  <c r="K134"/>
  <c r="J134"/>
  <c r="I134"/>
  <c r="H134"/>
  <c r="G134"/>
  <c r="F134"/>
  <c r="P133"/>
  <c r="X133" s="1"/>
  <c r="J133"/>
  <c r="P132"/>
  <c r="X132" s="1"/>
  <c r="J132"/>
  <c r="P131"/>
  <c r="X131" s="1"/>
  <c r="J131"/>
  <c r="P130"/>
  <c r="X130" s="1"/>
  <c r="J130"/>
  <c r="P129"/>
  <c r="X129" s="1"/>
  <c r="J129"/>
  <c r="P128"/>
  <c r="X128" s="1"/>
  <c r="J128"/>
  <c r="P127"/>
  <c r="X127" s="1"/>
  <c r="J127"/>
  <c r="P126"/>
  <c r="X126" s="1"/>
  <c r="J126"/>
  <c r="P125"/>
  <c r="X125" s="1"/>
  <c r="J125"/>
  <c r="P124"/>
  <c r="X124" s="1"/>
  <c r="J124"/>
  <c r="P123"/>
  <c r="X123" s="1"/>
  <c r="J123"/>
  <c r="P122"/>
  <c r="X122" s="1"/>
  <c r="J122"/>
  <c r="P121"/>
  <c r="X121" s="1"/>
  <c r="J121"/>
  <c r="P120"/>
  <c r="X120" s="1"/>
  <c r="J120"/>
  <c r="P119"/>
  <c r="X119" s="1"/>
  <c r="J119"/>
  <c r="P118"/>
  <c r="X118" s="1"/>
  <c r="J118"/>
  <c r="P117"/>
  <c r="X117" s="1"/>
  <c r="J117"/>
  <c r="P116"/>
  <c r="X116" s="1"/>
  <c r="J116"/>
  <c r="P115"/>
  <c r="X115" s="1"/>
  <c r="J115"/>
  <c r="P114"/>
  <c r="X114" s="1"/>
  <c r="J114"/>
  <c r="P113"/>
  <c r="X113" s="1"/>
  <c r="J113"/>
  <c r="P112"/>
  <c r="X112" s="1"/>
  <c r="J112"/>
  <c r="P111"/>
  <c r="X111" s="1"/>
  <c r="J111"/>
  <c r="P110"/>
  <c r="X110" s="1"/>
  <c r="J110"/>
  <c r="P109"/>
  <c r="X109" s="1"/>
  <c r="J109"/>
  <c r="P108"/>
  <c r="X108" s="1"/>
  <c r="J108"/>
  <c r="P107"/>
  <c r="X107" s="1"/>
  <c r="J107"/>
  <c r="P106"/>
  <c r="X106" s="1"/>
  <c r="J106"/>
  <c r="P105"/>
  <c r="J105"/>
  <c r="P104"/>
  <c r="X104" s="1"/>
  <c r="J104"/>
  <c r="P103"/>
  <c r="X103" s="1"/>
  <c r="J103"/>
  <c r="P102"/>
  <c r="X102" s="1"/>
  <c r="J102"/>
  <c r="P101"/>
  <c r="P134" s="1"/>
  <c r="L134"/>
  <c r="J101"/>
  <c r="X100"/>
  <c r="P100"/>
  <c r="J100"/>
  <c r="X99"/>
  <c r="P99"/>
  <c r="J99"/>
  <c r="X98"/>
  <c r="P98"/>
  <c r="J98"/>
  <c r="X97"/>
  <c r="P97"/>
  <c r="J97"/>
  <c r="X96"/>
  <c r="P96"/>
  <c r="J96"/>
  <c r="X95"/>
  <c r="P95"/>
  <c r="J95"/>
  <c r="X94"/>
  <c r="P94"/>
  <c r="J94"/>
  <c r="W93"/>
  <c r="V93"/>
  <c r="U93"/>
  <c r="S93"/>
  <c r="R93"/>
  <c r="Q93"/>
  <c r="O93"/>
  <c r="N93"/>
  <c r="M93"/>
  <c r="L93"/>
  <c r="K93"/>
  <c r="I93"/>
  <c r="H93"/>
  <c r="G93"/>
  <c r="F93"/>
  <c r="P92"/>
  <c r="J92"/>
  <c r="X92" s="1"/>
  <c r="P91"/>
  <c r="J91"/>
  <c r="X91" s="1"/>
  <c r="P90"/>
  <c r="J90"/>
  <c r="X90" s="1"/>
  <c r="P89"/>
  <c r="J89"/>
  <c r="X89" s="1"/>
  <c r="P88"/>
  <c r="J88"/>
  <c r="X88" s="1"/>
  <c r="P87"/>
  <c r="J87"/>
  <c r="X87" s="1"/>
  <c r="P86"/>
  <c r="J86"/>
  <c r="X86" s="1"/>
  <c r="P85"/>
  <c r="J85"/>
  <c r="X85" s="1"/>
  <c r="P84"/>
  <c r="J84"/>
  <c r="X84" s="1"/>
  <c r="P78"/>
  <c r="X78" s="1"/>
  <c r="J78"/>
  <c r="P77"/>
  <c r="X77" s="1"/>
  <c r="J77"/>
  <c r="P76"/>
  <c r="X76" s="1"/>
  <c r="J76"/>
  <c r="T93"/>
  <c r="P75"/>
  <c r="J75"/>
  <c r="X75" s="1"/>
  <c r="X74"/>
  <c r="P74"/>
  <c r="J74"/>
  <c r="X73"/>
  <c r="P73"/>
  <c r="J73"/>
  <c r="X72"/>
  <c r="P72"/>
  <c r="J72"/>
  <c r="X71"/>
  <c r="P71"/>
  <c r="J71"/>
  <c r="X70"/>
  <c r="P70"/>
  <c r="J70"/>
  <c r="X69"/>
  <c r="P69"/>
  <c r="J69"/>
  <c r="J93" s="1"/>
  <c r="W68"/>
  <c r="V68"/>
  <c r="U68"/>
  <c r="S68"/>
  <c r="R68"/>
  <c r="Q68"/>
  <c r="O68"/>
  <c r="N68"/>
  <c r="M68"/>
  <c r="L68"/>
  <c r="K68"/>
  <c r="I68"/>
  <c r="H68"/>
  <c r="G68"/>
  <c r="F68"/>
  <c r="P67"/>
  <c r="J67"/>
  <c r="X67" s="1"/>
  <c r="P66"/>
  <c r="J66"/>
  <c r="X66" s="1"/>
  <c r="P65"/>
  <c r="J65"/>
  <c r="X65" s="1"/>
  <c r="P64"/>
  <c r="J64"/>
  <c r="X64" s="1"/>
  <c r="P63"/>
  <c r="J63"/>
  <c r="X63" s="1"/>
  <c r="P62"/>
  <c r="J62"/>
  <c r="X62" s="1"/>
  <c r="P61"/>
  <c r="J61"/>
  <c r="X61" s="1"/>
  <c r="P60"/>
  <c r="J60"/>
  <c r="X60" s="1"/>
  <c r="P59"/>
  <c r="J59"/>
  <c r="X59" s="1"/>
  <c r="P58"/>
  <c r="J58"/>
  <c r="X58" s="1"/>
  <c r="P57"/>
  <c r="J57"/>
  <c r="X57" s="1"/>
  <c r="P56"/>
  <c r="J56"/>
  <c r="X56" s="1"/>
  <c r="P55"/>
  <c r="J55"/>
  <c r="X55" s="1"/>
  <c r="P54"/>
  <c r="J54"/>
  <c r="X54" s="1"/>
  <c r="P53"/>
  <c r="J53"/>
  <c r="X53" s="1"/>
  <c r="P52"/>
  <c r="J52"/>
  <c r="X52" s="1"/>
  <c r="P51"/>
  <c r="J51"/>
  <c r="X51" s="1"/>
  <c r="P50"/>
  <c r="J50"/>
  <c r="X50" s="1"/>
  <c r="P49"/>
  <c r="J49"/>
  <c r="X49" s="1"/>
  <c r="P48"/>
  <c r="J48"/>
  <c r="X48" s="1"/>
  <c r="P47"/>
  <c r="J47"/>
  <c r="X47" s="1"/>
  <c r="P46"/>
  <c r="J46"/>
  <c r="X46" s="1"/>
  <c r="P45"/>
  <c r="J45"/>
  <c r="X45" s="1"/>
  <c r="P44"/>
  <c r="J44"/>
  <c r="X44" s="1"/>
  <c r="T43"/>
  <c r="P43"/>
  <c r="J43"/>
  <c r="X43" s="1"/>
  <c r="P42"/>
  <c r="X42" s="1"/>
  <c r="J42"/>
  <c r="P41"/>
  <c r="X41" s="1"/>
  <c r="J41"/>
  <c r="T40"/>
  <c r="X40" s="1"/>
  <c r="P40"/>
  <c r="J40"/>
  <c r="X39"/>
  <c r="P39"/>
  <c r="J39"/>
  <c r="X38"/>
  <c r="P38"/>
  <c r="J38"/>
  <c r="X37"/>
  <c r="P37"/>
  <c r="J37"/>
  <c r="X36"/>
  <c r="P36"/>
  <c r="J36"/>
  <c r="X35"/>
  <c r="P35"/>
  <c r="J35"/>
  <c r="X34"/>
  <c r="P34"/>
  <c r="J34"/>
  <c r="X33"/>
  <c r="P33"/>
  <c r="J33"/>
  <c r="X32"/>
  <c r="P32"/>
  <c r="J32"/>
  <c r="X31"/>
  <c r="P31"/>
  <c r="J31"/>
  <c r="X30"/>
  <c r="P30"/>
  <c r="J30"/>
  <c r="X29"/>
  <c r="P29"/>
  <c r="J29"/>
  <c r="X28"/>
  <c r="P28"/>
  <c r="J28"/>
  <c r="X27"/>
  <c r="P27"/>
  <c r="J27"/>
  <c r="X26"/>
  <c r="P26"/>
  <c r="J26"/>
  <c r="X25"/>
  <c r="P25"/>
  <c r="J25"/>
  <c r="X24"/>
  <c r="P24"/>
  <c r="J24"/>
  <c r="X23"/>
  <c r="P23"/>
  <c r="J23"/>
  <c r="X22"/>
  <c r="P22"/>
  <c r="J22"/>
  <c r="X21"/>
  <c r="P21"/>
  <c r="J21"/>
  <c r="X20"/>
  <c r="P20"/>
  <c r="J20"/>
  <c r="X19"/>
  <c r="P19"/>
  <c r="J19"/>
  <c r="X18"/>
  <c r="P18"/>
  <c r="J18"/>
  <c r="X17"/>
  <c r="P17"/>
  <c r="J17"/>
  <c r="X16"/>
  <c r="P16"/>
  <c r="J16"/>
  <c r="X15"/>
  <c r="P15"/>
  <c r="J15"/>
  <c r="X14"/>
  <c r="P14"/>
  <c r="J14"/>
  <c r="X13"/>
  <c r="P13"/>
  <c r="J13"/>
  <c r="X12"/>
  <c r="P12"/>
  <c r="J12"/>
  <c r="X11"/>
  <c r="P11"/>
  <c r="J11"/>
  <c r="X10"/>
  <c r="P10"/>
  <c r="J10"/>
  <c r="X9"/>
  <c r="P9"/>
  <c r="J9"/>
  <c r="X8"/>
  <c r="P8"/>
  <c r="J8"/>
  <c r="X7"/>
  <c r="P7"/>
  <c r="J7"/>
  <c r="X6"/>
  <c r="P6"/>
  <c r="P68" s="1"/>
  <c r="J6"/>
  <c r="J68" s="1"/>
  <c r="W216" i="12"/>
  <c r="V216"/>
  <c r="U216"/>
  <c r="T216"/>
  <c r="S216"/>
  <c r="R216"/>
  <c r="Q216"/>
  <c r="O216"/>
  <c r="N216"/>
  <c r="M216"/>
  <c r="L216"/>
  <c r="K216"/>
  <c r="I216"/>
  <c r="H216"/>
  <c r="G216"/>
  <c r="F216"/>
  <c r="X215"/>
  <c r="P215"/>
  <c r="J215"/>
  <c r="X214"/>
  <c r="P214"/>
  <c r="J214"/>
  <c r="X213"/>
  <c r="P213"/>
  <c r="J213"/>
  <c r="X212"/>
  <c r="P212"/>
  <c r="J212"/>
  <c r="X211"/>
  <c r="P211"/>
  <c r="J211"/>
  <c r="X210"/>
  <c r="P210"/>
  <c r="J210"/>
  <c r="X209"/>
  <c r="P209"/>
  <c r="J209"/>
  <c r="X208"/>
  <c r="P208"/>
  <c r="J208"/>
  <c r="X207"/>
  <c r="P207"/>
  <c r="J207"/>
  <c r="X206"/>
  <c r="P206"/>
  <c r="J206"/>
  <c r="X205"/>
  <c r="P205"/>
  <c r="J205"/>
  <c r="X204"/>
  <c r="P204"/>
  <c r="J204"/>
  <c r="X203"/>
  <c r="P203"/>
  <c r="J203"/>
  <c r="X202"/>
  <c r="P202"/>
  <c r="J202"/>
  <c r="X201"/>
  <c r="P201"/>
  <c r="J201"/>
  <c r="X200"/>
  <c r="P200"/>
  <c r="J200"/>
  <c r="X199"/>
  <c r="P199"/>
  <c r="J199"/>
  <c r="X198"/>
  <c r="P198"/>
  <c r="J198"/>
  <c r="X197"/>
  <c r="P197"/>
  <c r="J197"/>
  <c r="X196"/>
  <c r="P196"/>
  <c r="J196"/>
  <c r="X195"/>
  <c r="P195"/>
  <c r="J195"/>
  <c r="X194"/>
  <c r="P194"/>
  <c r="J194"/>
  <c r="X193"/>
  <c r="P193"/>
  <c r="J193"/>
  <c r="X192"/>
  <c r="P192"/>
  <c r="J192"/>
  <c r="P191"/>
  <c r="J191"/>
  <c r="X191" s="1"/>
  <c r="P190"/>
  <c r="J190"/>
  <c r="X190" s="1"/>
  <c r="P189"/>
  <c r="J189"/>
  <c r="X189" s="1"/>
  <c r="P188"/>
  <c r="J188"/>
  <c r="X188" s="1"/>
  <c r="P187"/>
  <c r="J187"/>
  <c r="X187" s="1"/>
  <c r="P186"/>
  <c r="J186"/>
  <c r="X186" s="1"/>
  <c r="P185"/>
  <c r="J185"/>
  <c r="X185" s="1"/>
  <c r="P184"/>
  <c r="J184"/>
  <c r="X184" s="1"/>
  <c r="P183"/>
  <c r="J183"/>
  <c r="X183" s="1"/>
  <c r="P182"/>
  <c r="J182"/>
  <c r="X182" s="1"/>
  <c r="P181"/>
  <c r="J181"/>
  <c r="X181" s="1"/>
  <c r="P180"/>
  <c r="J180"/>
  <c r="X180" s="1"/>
  <c r="P179"/>
  <c r="J179"/>
  <c r="X179" s="1"/>
  <c r="P178"/>
  <c r="J178"/>
  <c r="X178" s="1"/>
  <c r="P177"/>
  <c r="J177"/>
  <c r="X177" s="1"/>
  <c r="P176"/>
  <c r="J176"/>
  <c r="X176" s="1"/>
  <c r="P175"/>
  <c r="J175"/>
  <c r="X175" s="1"/>
  <c r="P174"/>
  <c r="J174"/>
  <c r="X174" s="1"/>
  <c r="P173"/>
  <c r="J173"/>
  <c r="X173" s="1"/>
  <c r="P172"/>
  <c r="J172"/>
  <c r="X172" s="1"/>
  <c r="P171"/>
  <c r="J171"/>
  <c r="X171" s="1"/>
  <c r="P170"/>
  <c r="J170"/>
  <c r="X170" s="1"/>
  <c r="P169"/>
  <c r="J169"/>
  <c r="X169" s="1"/>
  <c r="P168"/>
  <c r="J168"/>
  <c r="X168" s="1"/>
  <c r="P167"/>
  <c r="J167"/>
  <c r="X167" s="1"/>
  <c r="P166"/>
  <c r="J166"/>
  <c r="X166" s="1"/>
  <c r="P165"/>
  <c r="J165"/>
  <c r="X165" s="1"/>
  <c r="P164"/>
  <c r="J164"/>
  <c r="X164" s="1"/>
  <c r="P163"/>
  <c r="J163"/>
  <c r="X163" s="1"/>
  <c r="P162"/>
  <c r="J162"/>
  <c r="X162" s="1"/>
  <c r="P161"/>
  <c r="J161"/>
  <c r="X161" s="1"/>
  <c r="P160"/>
  <c r="J160"/>
  <c r="X160" s="1"/>
  <c r="P159"/>
  <c r="P216" s="1"/>
  <c r="J159"/>
  <c r="W158"/>
  <c r="V158"/>
  <c r="U158"/>
  <c r="S158"/>
  <c r="R158"/>
  <c r="Q158"/>
  <c r="O158"/>
  <c r="N158"/>
  <c r="M158"/>
  <c r="L158"/>
  <c r="K158"/>
  <c r="I158"/>
  <c r="H158"/>
  <c r="G158"/>
  <c r="F158"/>
  <c r="T157"/>
  <c r="X157" s="1"/>
  <c r="P157"/>
  <c r="J157"/>
  <c r="X156"/>
  <c r="P156"/>
  <c r="J156"/>
  <c r="X155"/>
  <c r="P155"/>
  <c r="J155"/>
  <c r="X154"/>
  <c r="T154"/>
  <c r="P154"/>
  <c r="J154"/>
  <c r="P153"/>
  <c r="J153"/>
  <c r="X153" s="1"/>
  <c r="P152"/>
  <c r="J152"/>
  <c r="X152" s="1"/>
  <c r="P151"/>
  <c r="J151"/>
  <c r="X151" s="1"/>
  <c r="P150"/>
  <c r="J150"/>
  <c r="X150" s="1"/>
  <c r="P149"/>
  <c r="J149"/>
  <c r="X149" s="1"/>
  <c r="P148"/>
  <c r="P158" s="1"/>
  <c r="J148"/>
  <c r="T158"/>
  <c r="P147"/>
  <c r="J147"/>
  <c r="X147" s="1"/>
  <c r="X146"/>
  <c r="P146"/>
  <c r="J146"/>
  <c r="X145"/>
  <c r="P145"/>
  <c r="J145"/>
  <c r="X144"/>
  <c r="P144"/>
  <c r="J144"/>
  <c r="X143"/>
  <c r="P143"/>
  <c r="J143"/>
  <c r="T142"/>
  <c r="P142"/>
  <c r="J142"/>
  <c r="X142" s="1"/>
  <c r="P141"/>
  <c r="J141"/>
  <c r="X141" s="1"/>
  <c r="P140"/>
  <c r="J140"/>
  <c r="X140" s="1"/>
  <c r="P139"/>
  <c r="J139"/>
  <c r="X139" s="1"/>
  <c r="P138"/>
  <c r="J138"/>
  <c r="X138" s="1"/>
  <c r="P137"/>
  <c r="J137"/>
  <c r="X137" s="1"/>
  <c r="P136"/>
  <c r="J136"/>
  <c r="X136" s="1"/>
  <c r="P135"/>
  <c r="J135"/>
  <c r="W134"/>
  <c r="V134"/>
  <c r="U134"/>
  <c r="T134"/>
  <c r="S134"/>
  <c r="R134"/>
  <c r="Q134"/>
  <c r="O134"/>
  <c r="N134"/>
  <c r="M134"/>
  <c r="K134"/>
  <c r="J134"/>
  <c r="I134"/>
  <c r="H134"/>
  <c r="G134"/>
  <c r="F134"/>
  <c r="P133"/>
  <c r="J133"/>
  <c r="X133" s="1"/>
  <c r="P132"/>
  <c r="X132" s="1"/>
  <c r="J132"/>
  <c r="P131"/>
  <c r="J131"/>
  <c r="X131" s="1"/>
  <c r="P130"/>
  <c r="X130" s="1"/>
  <c r="J130"/>
  <c r="P129"/>
  <c r="J129"/>
  <c r="P128"/>
  <c r="X128" s="1"/>
  <c r="J128"/>
  <c r="P127"/>
  <c r="J127"/>
  <c r="X127" s="1"/>
  <c r="P126"/>
  <c r="X126" s="1"/>
  <c r="J126"/>
  <c r="P125"/>
  <c r="J125"/>
  <c r="X125" s="1"/>
  <c r="P124"/>
  <c r="X124" s="1"/>
  <c r="J124"/>
  <c r="P123"/>
  <c r="J123"/>
  <c r="P122"/>
  <c r="X122" s="1"/>
  <c r="J122"/>
  <c r="P121"/>
  <c r="J121"/>
  <c r="X121" s="1"/>
  <c r="P120"/>
  <c r="X120" s="1"/>
  <c r="J120"/>
  <c r="P119"/>
  <c r="J119"/>
  <c r="X119" s="1"/>
  <c r="P118"/>
  <c r="X118" s="1"/>
  <c r="J118"/>
  <c r="P117"/>
  <c r="J117"/>
  <c r="P116"/>
  <c r="X116" s="1"/>
  <c r="J116"/>
  <c r="P115"/>
  <c r="J115"/>
  <c r="X115" s="1"/>
  <c r="P114"/>
  <c r="X114" s="1"/>
  <c r="J114"/>
  <c r="P113"/>
  <c r="J113"/>
  <c r="X113" s="1"/>
  <c r="P112"/>
  <c r="X112" s="1"/>
  <c r="J112"/>
  <c r="P111"/>
  <c r="J111"/>
  <c r="P110"/>
  <c r="X110" s="1"/>
  <c r="J110"/>
  <c r="P109"/>
  <c r="J109"/>
  <c r="X109" s="1"/>
  <c r="P108"/>
  <c r="X108" s="1"/>
  <c r="J108"/>
  <c r="P107"/>
  <c r="J107"/>
  <c r="X107" s="1"/>
  <c r="P106"/>
  <c r="X106" s="1"/>
  <c r="J106"/>
  <c r="P105"/>
  <c r="P134" s="1"/>
  <c r="J105"/>
  <c r="P104"/>
  <c r="X104" s="1"/>
  <c r="J104"/>
  <c r="P103"/>
  <c r="J103"/>
  <c r="X103" s="1"/>
  <c r="P102"/>
  <c r="X102" s="1"/>
  <c r="J102"/>
  <c r="P101"/>
  <c r="L134"/>
  <c r="J101"/>
  <c r="X101" s="1"/>
  <c r="X100"/>
  <c r="P100"/>
  <c r="J100"/>
  <c r="X99"/>
  <c r="P99"/>
  <c r="J99"/>
  <c r="X98"/>
  <c r="P98"/>
  <c r="J98"/>
  <c r="X97"/>
  <c r="P97"/>
  <c r="J97"/>
  <c r="X96"/>
  <c r="P96"/>
  <c r="J96"/>
  <c r="X95"/>
  <c r="P95"/>
  <c r="J95"/>
  <c r="X94"/>
  <c r="P94"/>
  <c r="J94"/>
  <c r="W93"/>
  <c r="V93"/>
  <c r="U93"/>
  <c r="S93"/>
  <c r="R93"/>
  <c r="Q93"/>
  <c r="O93"/>
  <c r="N93"/>
  <c r="M93"/>
  <c r="L93"/>
  <c r="K93"/>
  <c r="I93"/>
  <c r="H93"/>
  <c r="G93"/>
  <c r="F93"/>
  <c r="P92"/>
  <c r="J92"/>
  <c r="X92" s="1"/>
  <c r="P91"/>
  <c r="J91"/>
  <c r="X91" s="1"/>
  <c r="P90"/>
  <c r="J90"/>
  <c r="X90" s="1"/>
  <c r="P89"/>
  <c r="J89"/>
  <c r="X89" s="1"/>
  <c r="P88"/>
  <c r="J88"/>
  <c r="X88" s="1"/>
  <c r="P87"/>
  <c r="J87"/>
  <c r="X87" s="1"/>
  <c r="P86"/>
  <c r="J86"/>
  <c r="X86" s="1"/>
  <c r="P85"/>
  <c r="J85"/>
  <c r="X85" s="1"/>
  <c r="P84"/>
  <c r="J84"/>
  <c r="X84" s="1"/>
  <c r="P78"/>
  <c r="J78"/>
  <c r="X78" s="1"/>
  <c r="P77"/>
  <c r="J77"/>
  <c r="X77" s="1"/>
  <c r="P76"/>
  <c r="J76"/>
  <c r="T93"/>
  <c r="P75"/>
  <c r="X75" s="1"/>
  <c r="J75"/>
  <c r="P74"/>
  <c r="J74"/>
  <c r="X74" s="1"/>
  <c r="P73"/>
  <c r="X73" s="1"/>
  <c r="J73"/>
  <c r="P72"/>
  <c r="J72"/>
  <c r="P71"/>
  <c r="X71" s="1"/>
  <c r="J71"/>
  <c r="P70"/>
  <c r="J70"/>
  <c r="X70" s="1"/>
  <c r="P69"/>
  <c r="P93" s="1"/>
  <c r="J69"/>
  <c r="W68"/>
  <c r="V68"/>
  <c r="U68"/>
  <c r="T68"/>
  <c r="S68"/>
  <c r="R68"/>
  <c r="Q68"/>
  <c r="O68"/>
  <c r="N68"/>
  <c r="M68"/>
  <c r="L68"/>
  <c r="K68"/>
  <c r="I68"/>
  <c r="H68"/>
  <c r="G68"/>
  <c r="F68"/>
  <c r="X67"/>
  <c r="P67"/>
  <c r="J67"/>
  <c r="X66"/>
  <c r="P66"/>
  <c r="J66"/>
  <c r="X65"/>
  <c r="P65"/>
  <c r="J65"/>
  <c r="X64"/>
  <c r="P64"/>
  <c r="J64"/>
  <c r="X63"/>
  <c r="P63"/>
  <c r="J63"/>
  <c r="X62"/>
  <c r="P62"/>
  <c r="J62"/>
  <c r="X61"/>
  <c r="P61"/>
  <c r="J61"/>
  <c r="X60"/>
  <c r="P60"/>
  <c r="J60"/>
  <c r="X59"/>
  <c r="P59"/>
  <c r="J59"/>
  <c r="X58"/>
  <c r="P58"/>
  <c r="J58"/>
  <c r="X57"/>
  <c r="P57"/>
  <c r="J57"/>
  <c r="X56"/>
  <c r="P56"/>
  <c r="J56"/>
  <c r="X55"/>
  <c r="P55"/>
  <c r="J55"/>
  <c r="X54"/>
  <c r="P54"/>
  <c r="J54"/>
  <c r="X53"/>
  <c r="P53"/>
  <c r="J53"/>
  <c r="X52"/>
  <c r="P52"/>
  <c r="J52"/>
  <c r="X51"/>
  <c r="P51"/>
  <c r="J51"/>
  <c r="X50"/>
  <c r="P50"/>
  <c r="J50"/>
  <c r="X49"/>
  <c r="P49"/>
  <c r="J49"/>
  <c r="X48"/>
  <c r="P48"/>
  <c r="J48"/>
  <c r="X47"/>
  <c r="P47"/>
  <c r="J47"/>
  <c r="X46"/>
  <c r="P46"/>
  <c r="J46"/>
  <c r="X45"/>
  <c r="P45"/>
  <c r="J45"/>
  <c r="X44"/>
  <c r="P44"/>
  <c r="J44"/>
  <c r="X43"/>
  <c r="P43"/>
  <c r="J43"/>
  <c r="P42"/>
  <c r="J42"/>
  <c r="X42" s="1"/>
  <c r="P41"/>
  <c r="J41"/>
  <c r="X41" s="1"/>
  <c r="T40"/>
  <c r="P40"/>
  <c r="J40"/>
  <c r="X40" s="1"/>
  <c r="P39"/>
  <c r="X39" s="1"/>
  <c r="J39"/>
  <c r="P38"/>
  <c r="X38" s="1"/>
  <c r="J38"/>
  <c r="P37"/>
  <c r="X37" s="1"/>
  <c r="J37"/>
  <c r="P36"/>
  <c r="X36" s="1"/>
  <c r="J36"/>
  <c r="P35"/>
  <c r="X35" s="1"/>
  <c r="J35"/>
  <c r="P34"/>
  <c r="X34" s="1"/>
  <c r="J34"/>
  <c r="P33"/>
  <c r="X33" s="1"/>
  <c r="J33"/>
  <c r="P32"/>
  <c r="X32" s="1"/>
  <c r="J32"/>
  <c r="P31"/>
  <c r="X31" s="1"/>
  <c r="J31"/>
  <c r="P30"/>
  <c r="X30" s="1"/>
  <c r="J30"/>
  <c r="P29"/>
  <c r="X29" s="1"/>
  <c r="J29"/>
  <c r="P28"/>
  <c r="X28" s="1"/>
  <c r="J28"/>
  <c r="P27"/>
  <c r="X27" s="1"/>
  <c r="J27"/>
  <c r="P26"/>
  <c r="X26" s="1"/>
  <c r="J26"/>
  <c r="P25"/>
  <c r="X25" s="1"/>
  <c r="J25"/>
  <c r="P24"/>
  <c r="X24" s="1"/>
  <c r="J24"/>
  <c r="P23"/>
  <c r="X23" s="1"/>
  <c r="J23"/>
  <c r="P22"/>
  <c r="X22" s="1"/>
  <c r="J22"/>
  <c r="P21"/>
  <c r="X21" s="1"/>
  <c r="J21"/>
  <c r="P20"/>
  <c r="X20" s="1"/>
  <c r="J20"/>
  <c r="P19"/>
  <c r="X19" s="1"/>
  <c r="J19"/>
  <c r="P18"/>
  <c r="X18" s="1"/>
  <c r="J18"/>
  <c r="P17"/>
  <c r="X17" s="1"/>
  <c r="J17"/>
  <c r="P16"/>
  <c r="X16" s="1"/>
  <c r="J16"/>
  <c r="P15"/>
  <c r="X15" s="1"/>
  <c r="J15"/>
  <c r="P14"/>
  <c r="X14" s="1"/>
  <c r="J14"/>
  <c r="P13"/>
  <c r="X13" s="1"/>
  <c r="J13"/>
  <c r="P12"/>
  <c r="X12" s="1"/>
  <c r="J12"/>
  <c r="P11"/>
  <c r="X11" s="1"/>
  <c r="J11"/>
  <c r="P10"/>
  <c r="X10" s="1"/>
  <c r="J10"/>
  <c r="P9"/>
  <c r="X9" s="1"/>
  <c r="J9"/>
  <c r="P8"/>
  <c r="X8" s="1"/>
  <c r="J8"/>
  <c r="P7"/>
  <c r="X7" s="1"/>
  <c r="J7"/>
  <c r="P6"/>
  <c r="J6"/>
  <c r="J68" s="1"/>
  <c r="W216" i="11"/>
  <c r="V216"/>
  <c r="U216"/>
  <c r="T216"/>
  <c r="S216"/>
  <c r="R216"/>
  <c r="Q216"/>
  <c r="O216"/>
  <c r="N216"/>
  <c r="M216"/>
  <c r="L216"/>
  <c r="K216"/>
  <c r="I216"/>
  <c r="H216"/>
  <c r="G216"/>
  <c r="F216"/>
  <c r="P215"/>
  <c r="X215" s="1"/>
  <c r="J215"/>
  <c r="P214"/>
  <c r="X214" s="1"/>
  <c r="J214"/>
  <c r="P213"/>
  <c r="X213" s="1"/>
  <c r="J213"/>
  <c r="P212"/>
  <c r="X212" s="1"/>
  <c r="J212"/>
  <c r="P211"/>
  <c r="X211" s="1"/>
  <c r="J211"/>
  <c r="P210"/>
  <c r="X210" s="1"/>
  <c r="J210"/>
  <c r="P209"/>
  <c r="X209" s="1"/>
  <c r="J209"/>
  <c r="P208"/>
  <c r="X208" s="1"/>
  <c r="J208"/>
  <c r="P207"/>
  <c r="X207" s="1"/>
  <c r="J207"/>
  <c r="P206"/>
  <c r="X206" s="1"/>
  <c r="J206"/>
  <c r="P205"/>
  <c r="X205" s="1"/>
  <c r="J205"/>
  <c r="P204"/>
  <c r="X204" s="1"/>
  <c r="J204"/>
  <c r="P203"/>
  <c r="X203" s="1"/>
  <c r="J203"/>
  <c r="P202"/>
  <c r="X202" s="1"/>
  <c r="J202"/>
  <c r="P201"/>
  <c r="X201" s="1"/>
  <c r="J201"/>
  <c r="P200"/>
  <c r="X200" s="1"/>
  <c r="J200"/>
  <c r="P199"/>
  <c r="X199" s="1"/>
  <c r="J199"/>
  <c r="P198"/>
  <c r="X198" s="1"/>
  <c r="J198"/>
  <c r="P197"/>
  <c r="X197" s="1"/>
  <c r="J197"/>
  <c r="P196"/>
  <c r="X196" s="1"/>
  <c r="J196"/>
  <c r="P195"/>
  <c r="X195" s="1"/>
  <c r="J195"/>
  <c r="P194"/>
  <c r="X194" s="1"/>
  <c r="J194"/>
  <c r="P193"/>
  <c r="X193" s="1"/>
  <c r="J193"/>
  <c r="P192"/>
  <c r="X192" s="1"/>
  <c r="J192"/>
  <c r="P191"/>
  <c r="X191" s="1"/>
  <c r="J191"/>
  <c r="P190"/>
  <c r="X190" s="1"/>
  <c r="J190"/>
  <c r="P189"/>
  <c r="X189" s="1"/>
  <c r="J189"/>
  <c r="P188"/>
  <c r="X188" s="1"/>
  <c r="J188"/>
  <c r="P187"/>
  <c r="X187" s="1"/>
  <c r="J187"/>
  <c r="P186"/>
  <c r="X186" s="1"/>
  <c r="J186"/>
  <c r="P185"/>
  <c r="X185" s="1"/>
  <c r="J185"/>
  <c r="P184"/>
  <c r="X184" s="1"/>
  <c r="J184"/>
  <c r="P183"/>
  <c r="X183" s="1"/>
  <c r="J183"/>
  <c r="P182"/>
  <c r="X182" s="1"/>
  <c r="J182"/>
  <c r="P181"/>
  <c r="X181" s="1"/>
  <c r="J181"/>
  <c r="P180"/>
  <c r="X180" s="1"/>
  <c r="J180"/>
  <c r="P179"/>
  <c r="X179" s="1"/>
  <c r="J179"/>
  <c r="P178"/>
  <c r="X178" s="1"/>
  <c r="J178"/>
  <c r="P177"/>
  <c r="X177" s="1"/>
  <c r="J177"/>
  <c r="P176"/>
  <c r="X176" s="1"/>
  <c r="J176"/>
  <c r="P175"/>
  <c r="X175" s="1"/>
  <c r="J175"/>
  <c r="P174"/>
  <c r="X174" s="1"/>
  <c r="J174"/>
  <c r="P173"/>
  <c r="X173" s="1"/>
  <c r="J173"/>
  <c r="P172"/>
  <c r="X172" s="1"/>
  <c r="J172"/>
  <c r="P171"/>
  <c r="X171" s="1"/>
  <c r="J171"/>
  <c r="P170"/>
  <c r="X170" s="1"/>
  <c r="J170"/>
  <c r="P169"/>
  <c r="X169" s="1"/>
  <c r="J169"/>
  <c r="P168"/>
  <c r="X168" s="1"/>
  <c r="J168"/>
  <c r="P167"/>
  <c r="X167" s="1"/>
  <c r="J167"/>
  <c r="P166"/>
  <c r="X166" s="1"/>
  <c r="J166"/>
  <c r="P165"/>
  <c r="X165" s="1"/>
  <c r="J165"/>
  <c r="P164"/>
  <c r="X164" s="1"/>
  <c r="J164"/>
  <c r="P163"/>
  <c r="X163" s="1"/>
  <c r="J163"/>
  <c r="P162"/>
  <c r="X162" s="1"/>
  <c r="J162"/>
  <c r="P161"/>
  <c r="X161" s="1"/>
  <c r="J161"/>
  <c r="P160"/>
  <c r="X160" s="1"/>
  <c r="J160"/>
  <c r="P159"/>
  <c r="X159" s="1"/>
  <c r="J159"/>
  <c r="J216" s="1"/>
  <c r="W158"/>
  <c r="V158"/>
  <c r="U158"/>
  <c r="T158"/>
  <c r="S158"/>
  <c r="R158"/>
  <c r="Q158"/>
  <c r="O158"/>
  <c r="N158"/>
  <c r="M158"/>
  <c r="L158"/>
  <c r="K158"/>
  <c r="I158"/>
  <c r="H158"/>
  <c r="G158"/>
  <c r="F158"/>
  <c r="X157"/>
  <c r="T157"/>
  <c r="P157"/>
  <c r="J157"/>
  <c r="P156"/>
  <c r="J156"/>
  <c r="X156" s="1"/>
  <c r="P155"/>
  <c r="J155"/>
  <c r="X155" s="1"/>
  <c r="T154"/>
  <c r="P154"/>
  <c r="X154" s="1"/>
  <c r="J154"/>
  <c r="P153"/>
  <c r="X153" s="1"/>
  <c r="J153"/>
  <c r="P152"/>
  <c r="X152" s="1"/>
  <c r="J152"/>
  <c r="P151"/>
  <c r="X151" s="1"/>
  <c r="J151"/>
  <c r="P150"/>
  <c r="X150" s="1"/>
  <c r="J150"/>
  <c r="P149"/>
  <c r="X149" s="1"/>
  <c r="J149"/>
  <c r="X148"/>
  <c r="P148"/>
  <c r="J148"/>
  <c r="X147"/>
  <c r="P147"/>
  <c r="J147"/>
  <c r="P146"/>
  <c r="J146"/>
  <c r="X146" s="1"/>
  <c r="P145"/>
  <c r="J145"/>
  <c r="X145" s="1"/>
  <c r="P144"/>
  <c r="J144"/>
  <c r="X144" s="1"/>
  <c r="P143"/>
  <c r="J143"/>
  <c r="X143" s="1"/>
  <c r="T142"/>
  <c r="P142"/>
  <c r="J142"/>
  <c r="P141"/>
  <c r="X141" s="1"/>
  <c r="J141"/>
  <c r="P140"/>
  <c r="X140" s="1"/>
  <c r="J140"/>
  <c r="P139"/>
  <c r="X139" s="1"/>
  <c r="J139"/>
  <c r="P138"/>
  <c r="X138" s="1"/>
  <c r="J138"/>
  <c r="P137"/>
  <c r="X137" s="1"/>
  <c r="J137"/>
  <c r="P136"/>
  <c r="X136" s="1"/>
  <c r="J136"/>
  <c r="P135"/>
  <c r="J135"/>
  <c r="W134"/>
  <c r="V134"/>
  <c r="U134"/>
  <c r="T134"/>
  <c r="S134"/>
  <c r="R134"/>
  <c r="Q134"/>
  <c r="O134"/>
  <c r="N134"/>
  <c r="M134"/>
  <c r="K134"/>
  <c r="I134"/>
  <c r="H134"/>
  <c r="G134"/>
  <c r="F134"/>
  <c r="X133"/>
  <c r="P133"/>
  <c r="J133"/>
  <c r="X132"/>
  <c r="P132"/>
  <c r="J132"/>
  <c r="X131"/>
  <c r="P131"/>
  <c r="J131"/>
  <c r="X130"/>
  <c r="P130"/>
  <c r="J130"/>
  <c r="X129"/>
  <c r="P129"/>
  <c r="J129"/>
  <c r="X128"/>
  <c r="P128"/>
  <c r="J128"/>
  <c r="X127"/>
  <c r="P127"/>
  <c r="J127"/>
  <c r="X126"/>
  <c r="P126"/>
  <c r="J126"/>
  <c r="X125"/>
  <c r="P125"/>
  <c r="J125"/>
  <c r="X124"/>
  <c r="P124"/>
  <c r="J124"/>
  <c r="X123"/>
  <c r="P123"/>
  <c r="J123"/>
  <c r="X122"/>
  <c r="P122"/>
  <c r="J122"/>
  <c r="X121"/>
  <c r="P121"/>
  <c r="J121"/>
  <c r="X120"/>
  <c r="P120"/>
  <c r="J120"/>
  <c r="X119"/>
  <c r="P119"/>
  <c r="J119"/>
  <c r="X118"/>
  <c r="P118"/>
  <c r="J118"/>
  <c r="X117"/>
  <c r="P117"/>
  <c r="J117"/>
  <c r="X116"/>
  <c r="P116"/>
  <c r="J116"/>
  <c r="X115"/>
  <c r="P115"/>
  <c r="J115"/>
  <c r="X114"/>
  <c r="P114"/>
  <c r="J114"/>
  <c r="X113"/>
  <c r="P113"/>
  <c r="J113"/>
  <c r="X112"/>
  <c r="P112"/>
  <c r="J112"/>
  <c r="X111"/>
  <c r="P111"/>
  <c r="J111"/>
  <c r="X110"/>
  <c r="P110"/>
  <c r="J110"/>
  <c r="X109"/>
  <c r="P109"/>
  <c r="J109"/>
  <c r="X108"/>
  <c r="P108"/>
  <c r="J108"/>
  <c r="X107"/>
  <c r="P107"/>
  <c r="J107"/>
  <c r="X106"/>
  <c r="P106"/>
  <c r="J106"/>
  <c r="P105"/>
  <c r="J105"/>
  <c r="X104"/>
  <c r="P104"/>
  <c r="J104"/>
  <c r="X103"/>
  <c r="P103"/>
  <c r="J103"/>
  <c r="X102"/>
  <c r="P102"/>
  <c r="J102"/>
  <c r="X101"/>
  <c r="P101"/>
  <c r="L134"/>
  <c r="J101"/>
  <c r="P100"/>
  <c r="J100"/>
  <c r="X100" s="1"/>
  <c r="P99"/>
  <c r="J99"/>
  <c r="X99" s="1"/>
  <c r="P98"/>
  <c r="J98"/>
  <c r="X98" s="1"/>
  <c r="P97"/>
  <c r="J97"/>
  <c r="X97" s="1"/>
  <c r="P96"/>
  <c r="J96"/>
  <c r="X96" s="1"/>
  <c r="P95"/>
  <c r="P134" s="1"/>
  <c r="J95"/>
  <c r="X95" s="1"/>
  <c r="J94"/>
  <c r="X94" s="1"/>
  <c r="W93"/>
  <c r="V93"/>
  <c r="U93"/>
  <c r="S93"/>
  <c r="R93"/>
  <c r="R217" s="1"/>
  <c r="Q93"/>
  <c r="O93"/>
  <c r="O217" s="1"/>
  <c r="N93"/>
  <c r="M93"/>
  <c r="L93"/>
  <c r="K93"/>
  <c r="I93"/>
  <c r="I217" s="1"/>
  <c r="H93"/>
  <c r="G93"/>
  <c r="F93"/>
  <c r="P92"/>
  <c r="J92"/>
  <c r="X92" s="1"/>
  <c r="P91"/>
  <c r="J91"/>
  <c r="X91" s="1"/>
  <c r="P90"/>
  <c r="J90"/>
  <c r="X90" s="1"/>
  <c r="P89"/>
  <c r="J89"/>
  <c r="X89" s="1"/>
  <c r="P88"/>
  <c r="J88"/>
  <c r="X88" s="1"/>
  <c r="P87"/>
  <c r="J87"/>
  <c r="X87" s="1"/>
  <c r="P86"/>
  <c r="J86"/>
  <c r="X86" s="1"/>
  <c r="P85"/>
  <c r="J85"/>
  <c r="X85" s="1"/>
  <c r="P83" i="16"/>
  <c r="P78" i="11"/>
  <c r="J78"/>
  <c r="X78" s="1"/>
  <c r="P77"/>
  <c r="J77"/>
  <c r="X77" s="1"/>
  <c r="P76"/>
  <c r="J76"/>
  <c r="T75"/>
  <c r="T93" s="1"/>
  <c r="P75"/>
  <c r="J75"/>
  <c r="P74"/>
  <c r="X74" s="1"/>
  <c r="J74"/>
  <c r="P73"/>
  <c r="X73" s="1"/>
  <c r="J73"/>
  <c r="P72"/>
  <c r="X72" s="1"/>
  <c r="J72"/>
  <c r="P71"/>
  <c r="X71" s="1"/>
  <c r="J71"/>
  <c r="P70"/>
  <c r="X70" s="1"/>
  <c r="J70"/>
  <c r="P69"/>
  <c r="J69"/>
  <c r="W68"/>
  <c r="V68"/>
  <c r="U68"/>
  <c r="T68"/>
  <c r="S68"/>
  <c r="R68"/>
  <c r="Q68"/>
  <c r="O68"/>
  <c r="N68"/>
  <c r="M68"/>
  <c r="L68"/>
  <c r="K68"/>
  <c r="I68"/>
  <c r="H68"/>
  <c r="G68"/>
  <c r="F68"/>
  <c r="F217" s="1"/>
  <c r="X67"/>
  <c r="P67"/>
  <c r="J67"/>
  <c r="X66"/>
  <c r="P66"/>
  <c r="J66"/>
  <c r="X65"/>
  <c r="P65"/>
  <c r="J65"/>
  <c r="X64"/>
  <c r="P64"/>
  <c r="J64"/>
  <c r="X63"/>
  <c r="P63"/>
  <c r="J63"/>
  <c r="R62"/>
  <c r="R62" i="16" s="1"/>
  <c r="P62" i="11"/>
  <c r="J62"/>
  <c r="X62" s="1"/>
  <c r="P61"/>
  <c r="J61"/>
  <c r="X61" s="1"/>
  <c r="P60"/>
  <c r="J60"/>
  <c r="X60" s="1"/>
  <c r="P59"/>
  <c r="J59"/>
  <c r="X59" s="1"/>
  <c r="P58"/>
  <c r="J58"/>
  <c r="X58" s="1"/>
  <c r="P57"/>
  <c r="J57"/>
  <c r="X57" s="1"/>
  <c r="P56"/>
  <c r="J56"/>
  <c r="X56" s="1"/>
  <c r="P55"/>
  <c r="J55"/>
  <c r="X55" s="1"/>
  <c r="P54"/>
  <c r="J54"/>
  <c r="X54" s="1"/>
  <c r="P53"/>
  <c r="J53"/>
  <c r="X53" s="1"/>
  <c r="P52"/>
  <c r="J52"/>
  <c r="X52" s="1"/>
  <c r="P51"/>
  <c r="J51"/>
  <c r="X51" s="1"/>
  <c r="P50"/>
  <c r="J50"/>
  <c r="X50" s="1"/>
  <c r="P49"/>
  <c r="J49"/>
  <c r="X49" s="1"/>
  <c r="P48"/>
  <c r="J48"/>
  <c r="X48" s="1"/>
  <c r="P47"/>
  <c r="J47"/>
  <c r="X47" s="1"/>
  <c r="P46"/>
  <c r="J46"/>
  <c r="X46" s="1"/>
  <c r="P45"/>
  <c r="J45"/>
  <c r="X45" s="1"/>
  <c r="P44"/>
  <c r="J44"/>
  <c r="X44" s="1"/>
  <c r="T43"/>
  <c r="P43"/>
  <c r="X43" s="1"/>
  <c r="P42"/>
  <c r="J42"/>
  <c r="X42" s="1"/>
  <c r="P41"/>
  <c r="X41" s="1"/>
  <c r="X40"/>
  <c r="T40"/>
  <c r="P40"/>
  <c r="X39"/>
  <c r="P39"/>
  <c r="J39"/>
  <c r="X38"/>
  <c r="P38"/>
  <c r="J38"/>
  <c r="X37"/>
  <c r="P37"/>
  <c r="J37"/>
  <c r="X36"/>
  <c r="P36"/>
  <c r="J36"/>
  <c r="X35"/>
  <c r="P35"/>
  <c r="J35"/>
  <c r="X34"/>
  <c r="P34"/>
  <c r="J34"/>
  <c r="X33"/>
  <c r="P33"/>
  <c r="J33"/>
  <c r="X32"/>
  <c r="P32"/>
  <c r="J32"/>
  <c r="X31"/>
  <c r="P31"/>
  <c r="J31"/>
  <c r="X30"/>
  <c r="P30"/>
  <c r="J30"/>
  <c r="X29"/>
  <c r="P29"/>
  <c r="J29"/>
  <c r="X28"/>
  <c r="P28"/>
  <c r="J28"/>
  <c r="X27"/>
  <c r="P27"/>
  <c r="J27"/>
  <c r="X26"/>
  <c r="P26"/>
  <c r="J26"/>
  <c r="X25"/>
  <c r="P25"/>
  <c r="J25"/>
  <c r="X24"/>
  <c r="P24"/>
  <c r="J24"/>
  <c r="X23"/>
  <c r="P23"/>
  <c r="J23"/>
  <c r="X22"/>
  <c r="P22"/>
  <c r="J22"/>
  <c r="X21"/>
  <c r="P21"/>
  <c r="J21"/>
  <c r="X20"/>
  <c r="P20"/>
  <c r="J20"/>
  <c r="X19"/>
  <c r="P19"/>
  <c r="J19"/>
  <c r="X18"/>
  <c r="P18"/>
  <c r="J18"/>
  <c r="X17"/>
  <c r="P17"/>
  <c r="J17"/>
  <c r="X16"/>
  <c r="P16"/>
  <c r="J16"/>
  <c r="X15"/>
  <c r="P15"/>
  <c r="J15"/>
  <c r="X14"/>
  <c r="P14"/>
  <c r="J14"/>
  <c r="X13"/>
  <c r="P13"/>
  <c r="J13"/>
  <c r="X12"/>
  <c r="P12"/>
  <c r="J12"/>
  <c r="X11"/>
  <c r="P11"/>
  <c r="J11"/>
  <c r="X10"/>
  <c r="P10"/>
  <c r="J10"/>
  <c r="X9"/>
  <c r="P9"/>
  <c r="J9"/>
  <c r="X8"/>
  <c r="P8"/>
  <c r="J8"/>
  <c r="X7"/>
  <c r="P7"/>
  <c r="J7"/>
  <c r="X6"/>
  <c r="P6"/>
  <c r="P68" s="1"/>
  <c r="J6"/>
  <c r="W216" i="10"/>
  <c r="V216"/>
  <c r="U216"/>
  <c r="T216"/>
  <c r="S216"/>
  <c r="R216"/>
  <c r="Q216"/>
  <c r="O216"/>
  <c r="N216"/>
  <c r="M216"/>
  <c r="L216"/>
  <c r="K216"/>
  <c r="I216"/>
  <c r="H216"/>
  <c r="G216"/>
  <c r="F216"/>
  <c r="X215"/>
  <c r="P215"/>
  <c r="J215"/>
  <c r="X214"/>
  <c r="P214"/>
  <c r="J214"/>
  <c r="X213"/>
  <c r="P213"/>
  <c r="J213"/>
  <c r="X212"/>
  <c r="P212"/>
  <c r="J212"/>
  <c r="X211"/>
  <c r="P211"/>
  <c r="J211"/>
  <c r="X210"/>
  <c r="P210"/>
  <c r="J210"/>
  <c r="X209"/>
  <c r="P209"/>
  <c r="J209"/>
  <c r="X208"/>
  <c r="P208"/>
  <c r="J208"/>
  <c r="X207"/>
  <c r="P207"/>
  <c r="J207"/>
  <c r="X206"/>
  <c r="P206"/>
  <c r="J206"/>
  <c r="X205"/>
  <c r="P205"/>
  <c r="J205"/>
  <c r="X204"/>
  <c r="P204"/>
  <c r="J204"/>
  <c r="X203"/>
  <c r="P203"/>
  <c r="J203"/>
  <c r="X202"/>
  <c r="P202"/>
  <c r="J202"/>
  <c r="X201"/>
  <c r="P201"/>
  <c r="J201"/>
  <c r="X200"/>
  <c r="P200"/>
  <c r="J200"/>
  <c r="X199"/>
  <c r="P199"/>
  <c r="J199"/>
  <c r="X198"/>
  <c r="P198"/>
  <c r="J198"/>
  <c r="X197"/>
  <c r="P197"/>
  <c r="J197"/>
  <c r="X196"/>
  <c r="P196"/>
  <c r="J196"/>
  <c r="X195"/>
  <c r="P195"/>
  <c r="J195"/>
  <c r="X194"/>
  <c r="P194"/>
  <c r="J194"/>
  <c r="X193"/>
  <c r="P193"/>
  <c r="J193"/>
  <c r="X192"/>
  <c r="P192"/>
  <c r="J192"/>
  <c r="P191"/>
  <c r="J191"/>
  <c r="X191" s="1"/>
  <c r="P190"/>
  <c r="J190"/>
  <c r="X190" s="1"/>
  <c r="P189"/>
  <c r="J189"/>
  <c r="X189" s="1"/>
  <c r="P188"/>
  <c r="J188"/>
  <c r="X188" s="1"/>
  <c r="P187"/>
  <c r="J187"/>
  <c r="X187" s="1"/>
  <c r="P186"/>
  <c r="J186"/>
  <c r="X186" s="1"/>
  <c r="P185"/>
  <c r="J185"/>
  <c r="X185" s="1"/>
  <c r="P184"/>
  <c r="X184" s="1"/>
  <c r="X183"/>
  <c r="P183"/>
  <c r="J183"/>
  <c r="X182"/>
  <c r="P182"/>
  <c r="J182"/>
  <c r="X181"/>
  <c r="P181"/>
  <c r="J181"/>
  <c r="X180"/>
  <c r="P180"/>
  <c r="J180"/>
  <c r="X179"/>
  <c r="P179"/>
  <c r="J179"/>
  <c r="X178"/>
  <c r="P178"/>
  <c r="J178"/>
  <c r="X177"/>
  <c r="P177"/>
  <c r="J177"/>
  <c r="X176"/>
  <c r="P176"/>
  <c r="J176"/>
  <c r="X175"/>
  <c r="P175"/>
  <c r="J175"/>
  <c r="X174"/>
  <c r="P174"/>
  <c r="J174"/>
  <c r="X173"/>
  <c r="P173"/>
  <c r="J173"/>
  <c r="X172"/>
  <c r="P172"/>
  <c r="J172"/>
  <c r="X171"/>
  <c r="P171"/>
  <c r="J171"/>
  <c r="X170"/>
  <c r="P170"/>
  <c r="J170"/>
  <c r="X169"/>
  <c r="P169"/>
  <c r="J169"/>
  <c r="X168"/>
  <c r="P168"/>
  <c r="J168"/>
  <c r="X167"/>
  <c r="P167"/>
  <c r="J167"/>
  <c r="X166"/>
  <c r="P166"/>
  <c r="J166"/>
  <c r="X165"/>
  <c r="P165"/>
  <c r="J165"/>
  <c r="X164"/>
  <c r="P164"/>
  <c r="J164"/>
  <c r="X163"/>
  <c r="P163"/>
  <c r="J163"/>
  <c r="X162"/>
  <c r="P162"/>
  <c r="J162"/>
  <c r="X161"/>
  <c r="P161"/>
  <c r="J161"/>
  <c r="X160"/>
  <c r="P160"/>
  <c r="J160"/>
  <c r="X159"/>
  <c r="P159"/>
  <c r="P216" s="1"/>
  <c r="J159"/>
  <c r="W158"/>
  <c r="V158"/>
  <c r="U158"/>
  <c r="S158"/>
  <c r="R158"/>
  <c r="Q158"/>
  <c r="O158"/>
  <c r="N158"/>
  <c r="M158"/>
  <c r="L158"/>
  <c r="K158"/>
  <c r="I158"/>
  <c r="H158"/>
  <c r="G158"/>
  <c r="F158"/>
  <c r="T157"/>
  <c r="P157"/>
  <c r="J157"/>
  <c r="P156"/>
  <c r="X156" s="1"/>
  <c r="J156"/>
  <c r="P155"/>
  <c r="X155" s="1"/>
  <c r="J155"/>
  <c r="T154"/>
  <c r="X154" s="1"/>
  <c r="P154"/>
  <c r="J154"/>
  <c r="X153"/>
  <c r="P153"/>
  <c r="J153"/>
  <c r="X152"/>
  <c r="P152"/>
  <c r="J152"/>
  <c r="X151"/>
  <c r="P151"/>
  <c r="J151"/>
  <c r="X150"/>
  <c r="P150"/>
  <c r="J150"/>
  <c r="X149"/>
  <c r="P149"/>
  <c r="J149"/>
  <c r="P148"/>
  <c r="J148"/>
  <c r="X148" s="1"/>
  <c r="P147"/>
  <c r="X147" s="1"/>
  <c r="J147"/>
  <c r="P146"/>
  <c r="X146" s="1"/>
  <c r="J146"/>
  <c r="P145"/>
  <c r="X145" s="1"/>
  <c r="J145"/>
  <c r="P144"/>
  <c r="X144" s="1"/>
  <c r="J144"/>
  <c r="P143"/>
  <c r="J143"/>
  <c r="T142"/>
  <c r="T158" s="1"/>
  <c r="P142"/>
  <c r="J142"/>
  <c r="X141"/>
  <c r="P141"/>
  <c r="J141"/>
  <c r="X140"/>
  <c r="P140"/>
  <c r="J140"/>
  <c r="X139"/>
  <c r="P139"/>
  <c r="J139"/>
  <c r="X138"/>
  <c r="P138"/>
  <c r="J138"/>
  <c r="X137"/>
  <c r="P137"/>
  <c r="J137"/>
  <c r="X136"/>
  <c r="P136"/>
  <c r="J136"/>
  <c r="X135"/>
  <c r="P135"/>
  <c r="J135"/>
  <c r="W134"/>
  <c r="V134"/>
  <c r="U134"/>
  <c r="T134"/>
  <c r="S134"/>
  <c r="R134"/>
  <c r="Q134"/>
  <c r="O134"/>
  <c r="N134"/>
  <c r="M134"/>
  <c r="L134"/>
  <c r="K134"/>
  <c r="I134"/>
  <c r="H134"/>
  <c r="G134"/>
  <c r="F134"/>
  <c r="P133"/>
  <c r="J133"/>
  <c r="X133" s="1"/>
  <c r="P132"/>
  <c r="J132"/>
  <c r="X132" s="1"/>
  <c r="P131"/>
  <c r="J131"/>
  <c r="X131" s="1"/>
  <c r="P130"/>
  <c r="J130"/>
  <c r="X130" s="1"/>
  <c r="P129"/>
  <c r="J129"/>
  <c r="X129" s="1"/>
  <c r="P128"/>
  <c r="J128"/>
  <c r="X128" s="1"/>
  <c r="P127"/>
  <c r="J127"/>
  <c r="X127" s="1"/>
  <c r="P126"/>
  <c r="J126"/>
  <c r="X126" s="1"/>
  <c r="P125"/>
  <c r="J125"/>
  <c r="X125" s="1"/>
  <c r="P124"/>
  <c r="J124"/>
  <c r="X124" s="1"/>
  <c r="P123"/>
  <c r="J123"/>
  <c r="X123" s="1"/>
  <c r="P122"/>
  <c r="J122"/>
  <c r="X122" s="1"/>
  <c r="P121"/>
  <c r="J121"/>
  <c r="X121" s="1"/>
  <c r="P120"/>
  <c r="J120"/>
  <c r="X120" s="1"/>
  <c r="P119"/>
  <c r="J119"/>
  <c r="X119" s="1"/>
  <c r="P118"/>
  <c r="J118"/>
  <c r="X118" s="1"/>
  <c r="P117"/>
  <c r="J117"/>
  <c r="X117" s="1"/>
  <c r="P116"/>
  <c r="J116"/>
  <c r="X116" s="1"/>
  <c r="P115"/>
  <c r="J115"/>
  <c r="X115" s="1"/>
  <c r="P114"/>
  <c r="J114"/>
  <c r="X114" s="1"/>
  <c r="P113"/>
  <c r="J113"/>
  <c r="X113" s="1"/>
  <c r="P112"/>
  <c r="J112"/>
  <c r="X112" s="1"/>
  <c r="P111"/>
  <c r="J111"/>
  <c r="X111" s="1"/>
  <c r="P110"/>
  <c r="J110"/>
  <c r="X110" s="1"/>
  <c r="P109"/>
  <c r="J109"/>
  <c r="X109" s="1"/>
  <c r="P108"/>
  <c r="J108"/>
  <c r="X108" s="1"/>
  <c r="P107"/>
  <c r="J107"/>
  <c r="X107" s="1"/>
  <c r="P106"/>
  <c r="J106"/>
  <c r="X106" s="1"/>
  <c r="P105"/>
  <c r="J105"/>
  <c r="P104"/>
  <c r="J104"/>
  <c r="X104" s="1"/>
  <c r="P103"/>
  <c r="J103"/>
  <c r="X103" s="1"/>
  <c r="P102"/>
  <c r="J102"/>
  <c r="P101"/>
  <c r="X101"/>
  <c r="J101"/>
  <c r="P100"/>
  <c r="X100" s="1"/>
  <c r="J100"/>
  <c r="P99"/>
  <c r="X99" s="1"/>
  <c r="J99"/>
  <c r="P98"/>
  <c r="X98" s="1"/>
  <c r="J98"/>
  <c r="X97"/>
  <c r="P97"/>
  <c r="J97"/>
  <c r="P96"/>
  <c r="X96" s="1"/>
  <c r="J96"/>
  <c r="P95"/>
  <c r="X95" s="1"/>
  <c r="J95"/>
  <c r="P94"/>
  <c r="J94"/>
  <c r="W93"/>
  <c r="V93"/>
  <c r="U93"/>
  <c r="T93"/>
  <c r="S93"/>
  <c r="R93"/>
  <c r="Q93"/>
  <c r="O93"/>
  <c r="N93"/>
  <c r="M93"/>
  <c r="L93"/>
  <c r="K93"/>
  <c r="I93"/>
  <c r="H93"/>
  <c r="G93"/>
  <c r="G217" s="1"/>
  <c r="X92"/>
  <c r="P92"/>
  <c r="J92"/>
  <c r="X91"/>
  <c r="P91"/>
  <c r="J91"/>
  <c r="X90"/>
  <c r="P90"/>
  <c r="J90"/>
  <c r="X89"/>
  <c r="P89"/>
  <c r="J89"/>
  <c r="X88"/>
  <c r="P88"/>
  <c r="J88"/>
  <c r="X87"/>
  <c r="P87"/>
  <c r="J87"/>
  <c r="X86"/>
  <c r="P86"/>
  <c r="J86"/>
  <c r="X85"/>
  <c r="P85"/>
  <c r="J85"/>
  <c r="X84"/>
  <c r="P84"/>
  <c r="J84"/>
  <c r="F93"/>
  <c r="P78"/>
  <c r="J78"/>
  <c r="P77"/>
  <c r="J77"/>
  <c r="X77" s="1"/>
  <c r="P76"/>
  <c r="J76"/>
  <c r="X76" s="1"/>
  <c r="P75"/>
  <c r="J75"/>
  <c r="X74"/>
  <c r="P74"/>
  <c r="J74"/>
  <c r="P73"/>
  <c r="X73" s="1"/>
  <c r="J73"/>
  <c r="P72"/>
  <c r="X72" s="1"/>
  <c r="J72"/>
  <c r="P71"/>
  <c r="X71" s="1"/>
  <c r="J71"/>
  <c r="P70"/>
  <c r="X70" s="1"/>
  <c r="J70"/>
  <c r="P69"/>
  <c r="J69"/>
  <c r="J93" s="1"/>
  <c r="W68"/>
  <c r="V68"/>
  <c r="U68"/>
  <c r="S68"/>
  <c r="S217" s="1"/>
  <c r="R68"/>
  <c r="Q68"/>
  <c r="O68"/>
  <c r="N68"/>
  <c r="M68"/>
  <c r="M217" s="1"/>
  <c r="L68"/>
  <c r="K68"/>
  <c r="I68"/>
  <c r="H68"/>
  <c r="G68"/>
  <c r="F68"/>
  <c r="X67"/>
  <c r="P67"/>
  <c r="J67"/>
  <c r="P66"/>
  <c r="J66"/>
  <c r="X66" s="1"/>
  <c r="X65"/>
  <c r="P65"/>
  <c r="J65"/>
  <c r="P64"/>
  <c r="J64"/>
  <c r="X64" s="1"/>
  <c r="X63"/>
  <c r="P63"/>
  <c r="J63"/>
  <c r="P62"/>
  <c r="J62"/>
  <c r="X62" s="1"/>
  <c r="X61"/>
  <c r="P61"/>
  <c r="J61"/>
  <c r="P60"/>
  <c r="J60"/>
  <c r="X60" s="1"/>
  <c r="X59"/>
  <c r="P59"/>
  <c r="J59"/>
  <c r="P58"/>
  <c r="J58"/>
  <c r="X58" s="1"/>
  <c r="X57"/>
  <c r="P57"/>
  <c r="J57"/>
  <c r="P56"/>
  <c r="J56"/>
  <c r="X56" s="1"/>
  <c r="X55"/>
  <c r="P55"/>
  <c r="J55"/>
  <c r="P54"/>
  <c r="J54"/>
  <c r="X54" s="1"/>
  <c r="X53"/>
  <c r="P53"/>
  <c r="J53"/>
  <c r="P52"/>
  <c r="J52"/>
  <c r="X52" s="1"/>
  <c r="X51"/>
  <c r="P51"/>
  <c r="J51"/>
  <c r="P50"/>
  <c r="J50"/>
  <c r="X50" s="1"/>
  <c r="X49"/>
  <c r="P49"/>
  <c r="J49"/>
  <c r="P48"/>
  <c r="J48"/>
  <c r="X48" s="1"/>
  <c r="X47"/>
  <c r="P47"/>
  <c r="J47"/>
  <c r="P46"/>
  <c r="J46"/>
  <c r="X46" s="1"/>
  <c r="X45"/>
  <c r="P45"/>
  <c r="J45"/>
  <c r="P44"/>
  <c r="J44"/>
  <c r="X44" s="1"/>
  <c r="X43"/>
  <c r="T43"/>
  <c r="P43"/>
  <c r="J43"/>
  <c r="P42"/>
  <c r="J42"/>
  <c r="P41"/>
  <c r="J41"/>
  <c r="X41" s="1"/>
  <c r="T40"/>
  <c r="T68" s="1"/>
  <c r="P40"/>
  <c r="J40"/>
  <c r="X40" s="1"/>
  <c r="P39"/>
  <c r="X39" s="1"/>
  <c r="J39"/>
  <c r="X38"/>
  <c r="P38"/>
  <c r="J38"/>
  <c r="P37"/>
  <c r="X37" s="1"/>
  <c r="J37"/>
  <c r="P36"/>
  <c r="X36" s="1"/>
  <c r="J36"/>
  <c r="P35"/>
  <c r="X35" s="1"/>
  <c r="J35"/>
  <c r="P34"/>
  <c r="X34" s="1"/>
  <c r="J34"/>
  <c r="P33"/>
  <c r="X33" s="1"/>
  <c r="J33"/>
  <c r="X32"/>
  <c r="P32"/>
  <c r="J32"/>
  <c r="P31"/>
  <c r="X31" s="1"/>
  <c r="J31"/>
  <c r="P30"/>
  <c r="X30" s="1"/>
  <c r="J30"/>
  <c r="P29"/>
  <c r="X29" s="1"/>
  <c r="J29"/>
  <c r="X28"/>
  <c r="P28"/>
  <c r="J28"/>
  <c r="P27"/>
  <c r="X27" s="1"/>
  <c r="J27"/>
  <c r="X26"/>
  <c r="P26"/>
  <c r="J26"/>
  <c r="P25"/>
  <c r="X25" s="1"/>
  <c r="J25"/>
  <c r="P24"/>
  <c r="X24" s="1"/>
  <c r="J24"/>
  <c r="P23"/>
  <c r="X23" s="1"/>
  <c r="J23"/>
  <c r="P22"/>
  <c r="X22" s="1"/>
  <c r="J22"/>
  <c r="P21"/>
  <c r="X21" s="1"/>
  <c r="J21"/>
  <c r="X20"/>
  <c r="P20"/>
  <c r="J20"/>
  <c r="P19"/>
  <c r="X19" s="1"/>
  <c r="J19"/>
  <c r="P18"/>
  <c r="X18" s="1"/>
  <c r="J18"/>
  <c r="P17"/>
  <c r="X17" s="1"/>
  <c r="J17"/>
  <c r="X16"/>
  <c r="P16"/>
  <c r="J16"/>
  <c r="P15"/>
  <c r="X15" s="1"/>
  <c r="J15"/>
  <c r="X14"/>
  <c r="P14"/>
  <c r="J14"/>
  <c r="P13"/>
  <c r="X13" s="1"/>
  <c r="J13"/>
  <c r="X12"/>
  <c r="P12"/>
  <c r="J12"/>
  <c r="P11"/>
  <c r="X11" s="1"/>
  <c r="J11"/>
  <c r="X10"/>
  <c r="P10"/>
  <c r="J10"/>
  <c r="P9"/>
  <c r="X9" s="1"/>
  <c r="J9"/>
  <c r="X8"/>
  <c r="P8"/>
  <c r="J8"/>
  <c r="P7"/>
  <c r="X7" s="1"/>
  <c r="J7"/>
  <c r="X6"/>
  <c r="P6"/>
  <c r="J6"/>
  <c r="W216" i="9"/>
  <c r="V216"/>
  <c r="U216"/>
  <c r="T216"/>
  <c r="S216"/>
  <c r="R216"/>
  <c r="Q216"/>
  <c r="O216"/>
  <c r="N216"/>
  <c r="M216"/>
  <c r="L216"/>
  <c r="K216"/>
  <c r="I216"/>
  <c r="H216"/>
  <c r="G216"/>
  <c r="F216"/>
  <c r="P215"/>
  <c r="J215"/>
  <c r="X215" s="1"/>
  <c r="N215" i="19" s="1"/>
  <c r="P214" i="9"/>
  <c r="J214"/>
  <c r="X214" s="1"/>
  <c r="N214" i="19" s="1"/>
  <c r="X213" i="9"/>
  <c r="N213" i="19" s="1"/>
  <c r="P213" i="9"/>
  <c r="J213"/>
  <c r="P212"/>
  <c r="J212"/>
  <c r="P211"/>
  <c r="X211" s="1"/>
  <c r="N211" i="19" s="1"/>
  <c r="J211" i="9"/>
  <c r="P210"/>
  <c r="J210"/>
  <c r="X210" s="1"/>
  <c r="N210" i="19" s="1"/>
  <c r="P209" i="9"/>
  <c r="J209"/>
  <c r="X209" s="1"/>
  <c r="N209" i="19" s="1"/>
  <c r="P208" i="9"/>
  <c r="J208"/>
  <c r="X208" s="1"/>
  <c r="N208" i="19" s="1"/>
  <c r="X207" i="9"/>
  <c r="N207" i="19" s="1"/>
  <c r="P207" i="9"/>
  <c r="J207"/>
  <c r="P206"/>
  <c r="J206"/>
  <c r="P205"/>
  <c r="X205" s="1"/>
  <c r="N205" i="19" s="1"/>
  <c r="J205" i="9"/>
  <c r="P204"/>
  <c r="J204"/>
  <c r="X204" s="1"/>
  <c r="N204" i="19" s="1"/>
  <c r="P203" i="9"/>
  <c r="J203"/>
  <c r="X203" s="1"/>
  <c r="N203" i="19" s="1"/>
  <c r="P202" i="9"/>
  <c r="J202"/>
  <c r="X202" s="1"/>
  <c r="N202" i="19" s="1"/>
  <c r="X201" i="9"/>
  <c r="N201" i="19" s="1"/>
  <c r="P201" i="9"/>
  <c r="J201"/>
  <c r="P200"/>
  <c r="J200"/>
  <c r="P199"/>
  <c r="X199" s="1"/>
  <c r="N199" i="19" s="1"/>
  <c r="J199" i="9"/>
  <c r="P198"/>
  <c r="J198"/>
  <c r="X198" s="1"/>
  <c r="N198" i="19" s="1"/>
  <c r="P197" i="9"/>
  <c r="J197"/>
  <c r="X197" s="1"/>
  <c r="N197" i="19" s="1"/>
  <c r="P196" i="9"/>
  <c r="J196"/>
  <c r="X196" s="1"/>
  <c r="N196" i="19" s="1"/>
  <c r="X195" i="9"/>
  <c r="N195" i="19" s="1"/>
  <c r="P195" i="9"/>
  <c r="J195"/>
  <c r="P194"/>
  <c r="J194"/>
  <c r="P193"/>
  <c r="X193" s="1"/>
  <c r="N193" i="19" s="1"/>
  <c r="J193" i="9"/>
  <c r="P192"/>
  <c r="J192"/>
  <c r="X192" s="1"/>
  <c r="N192" i="19" s="1"/>
  <c r="P191" i="9"/>
  <c r="J191"/>
  <c r="X191" s="1"/>
  <c r="N191" i="19" s="1"/>
  <c r="P190" i="9"/>
  <c r="J190"/>
  <c r="X190" s="1"/>
  <c r="N190" i="19" s="1"/>
  <c r="X189" i="9"/>
  <c r="N189" i="19" s="1"/>
  <c r="P189" i="9"/>
  <c r="J189"/>
  <c r="P188"/>
  <c r="J188"/>
  <c r="P187"/>
  <c r="X187" s="1"/>
  <c r="N187" i="19" s="1"/>
  <c r="J187" i="9"/>
  <c r="P186"/>
  <c r="J186"/>
  <c r="X186" s="1"/>
  <c r="N186" i="19" s="1"/>
  <c r="P185" i="9"/>
  <c r="J185"/>
  <c r="X185" s="1"/>
  <c r="N185" i="19" s="1"/>
  <c r="P184" i="9"/>
  <c r="J184"/>
  <c r="X184" s="1"/>
  <c r="N184" i="19" s="1"/>
  <c r="X183" i="9"/>
  <c r="N183" i="19" s="1"/>
  <c r="P183" i="9"/>
  <c r="J183"/>
  <c r="P182"/>
  <c r="J182"/>
  <c r="P181"/>
  <c r="X181" s="1"/>
  <c r="N181" i="19" s="1"/>
  <c r="J181" i="9"/>
  <c r="P180"/>
  <c r="J180"/>
  <c r="X180" s="1"/>
  <c r="N180" i="19" s="1"/>
  <c r="P179" i="9"/>
  <c r="J179"/>
  <c r="X179" s="1"/>
  <c r="N179" i="19" s="1"/>
  <c r="P178" i="9"/>
  <c r="J178"/>
  <c r="X178" s="1"/>
  <c r="N178" i="19" s="1"/>
  <c r="X177" i="9"/>
  <c r="N177" i="19" s="1"/>
  <c r="P177" i="9"/>
  <c r="J177"/>
  <c r="P176"/>
  <c r="J176"/>
  <c r="P175"/>
  <c r="X175" s="1"/>
  <c r="N175" i="19" s="1"/>
  <c r="J175" i="9"/>
  <c r="P174"/>
  <c r="J174"/>
  <c r="X174" s="1"/>
  <c r="N174" i="19" s="1"/>
  <c r="P173" i="9"/>
  <c r="J173"/>
  <c r="X173" s="1"/>
  <c r="N173" i="19" s="1"/>
  <c r="P172" i="9"/>
  <c r="J172"/>
  <c r="X172" s="1"/>
  <c r="N172" i="19" s="1"/>
  <c r="X171" i="9"/>
  <c r="N171" i="19" s="1"/>
  <c r="P171" i="9"/>
  <c r="J171"/>
  <c r="P170"/>
  <c r="J170"/>
  <c r="P169"/>
  <c r="X169" s="1"/>
  <c r="N169" i="19" s="1"/>
  <c r="J169" i="9"/>
  <c r="P168"/>
  <c r="J168"/>
  <c r="X168" s="1"/>
  <c r="N168" i="19" s="1"/>
  <c r="P167" i="9"/>
  <c r="J167"/>
  <c r="X167" s="1"/>
  <c r="N167" i="19" s="1"/>
  <c r="P166" i="9"/>
  <c r="J166"/>
  <c r="X166" s="1"/>
  <c r="N166" i="19" s="1"/>
  <c r="X165" i="9"/>
  <c r="N165" i="19" s="1"/>
  <c r="P165" i="9"/>
  <c r="J165"/>
  <c r="P164"/>
  <c r="J164"/>
  <c r="P163"/>
  <c r="X163" s="1"/>
  <c r="N163" i="19" s="1"/>
  <c r="J163" i="9"/>
  <c r="P162"/>
  <c r="J162"/>
  <c r="X162" s="1"/>
  <c r="N162" i="19" s="1"/>
  <c r="P161" i="9"/>
  <c r="J161"/>
  <c r="X161" s="1"/>
  <c r="N161" i="19" s="1"/>
  <c r="P160" i="9"/>
  <c r="J160"/>
  <c r="X160" s="1"/>
  <c r="N160" i="19" s="1"/>
  <c r="P159" i="9"/>
  <c r="P216" s="1"/>
  <c r="J159"/>
  <c r="W158"/>
  <c r="V158"/>
  <c r="U158"/>
  <c r="S158"/>
  <c r="R158"/>
  <c r="Q158"/>
  <c r="O158"/>
  <c r="N158"/>
  <c r="M158"/>
  <c r="L158"/>
  <c r="K158"/>
  <c r="I158"/>
  <c r="H158"/>
  <c r="G158"/>
  <c r="F158"/>
  <c r="T157"/>
  <c r="P157"/>
  <c r="J157"/>
  <c r="P156"/>
  <c r="J156"/>
  <c r="X156" s="1"/>
  <c r="N156" i="19" s="1"/>
  <c r="P155" i="9"/>
  <c r="J155"/>
  <c r="T154"/>
  <c r="P154"/>
  <c r="J154"/>
  <c r="X153"/>
  <c r="N153" i="19" s="1"/>
  <c r="P153" i="9"/>
  <c r="J153"/>
  <c r="P152"/>
  <c r="J152"/>
  <c r="P151"/>
  <c r="X151" s="1"/>
  <c r="N151" i="19" s="1"/>
  <c r="J151" i="9"/>
  <c r="P150"/>
  <c r="J150"/>
  <c r="X150" s="1"/>
  <c r="N150" i="19" s="1"/>
  <c r="P149" i="9"/>
  <c r="J149"/>
  <c r="X149" s="1"/>
  <c r="N149" i="19" s="1"/>
  <c r="P148" i="9"/>
  <c r="J148"/>
  <c r="X148" s="1"/>
  <c r="N148" i="19" s="1"/>
  <c r="T147" i="9"/>
  <c r="P147"/>
  <c r="J147"/>
  <c r="P146"/>
  <c r="X146" s="1"/>
  <c r="N146" i="19" s="1"/>
  <c r="J146" i="9"/>
  <c r="P145"/>
  <c r="J145"/>
  <c r="X145" s="1"/>
  <c r="N145" i="19" s="1"/>
  <c r="P144" i="9"/>
  <c r="J144"/>
  <c r="P143"/>
  <c r="J143"/>
  <c r="T142"/>
  <c r="P142"/>
  <c r="J142"/>
  <c r="P141"/>
  <c r="J141"/>
  <c r="X141" s="1"/>
  <c r="N141" i="19" s="1"/>
  <c r="P140" i="9"/>
  <c r="J140"/>
  <c r="X140" s="1"/>
  <c r="N140" i="19" s="1"/>
  <c r="P139" i="9"/>
  <c r="J139"/>
  <c r="X139" s="1"/>
  <c r="N139" i="19" s="1"/>
  <c r="X138" i="9"/>
  <c r="N138" i="19" s="1"/>
  <c r="P138" i="9"/>
  <c r="J138"/>
  <c r="P137"/>
  <c r="J137"/>
  <c r="P136"/>
  <c r="X136" s="1"/>
  <c r="N136" i="19" s="1"/>
  <c r="J136" i="9"/>
  <c r="P135"/>
  <c r="J135"/>
  <c r="W134"/>
  <c r="V134"/>
  <c r="U134"/>
  <c r="T134"/>
  <c r="S134"/>
  <c r="R134"/>
  <c r="Q134"/>
  <c r="O134"/>
  <c r="N134"/>
  <c r="M134"/>
  <c r="L134"/>
  <c r="K134"/>
  <c r="I134"/>
  <c r="H134"/>
  <c r="G134"/>
  <c r="F134"/>
  <c r="P133"/>
  <c r="J133"/>
  <c r="X133" s="1"/>
  <c r="N133" i="19" s="1"/>
  <c r="P132" i="9"/>
  <c r="J132"/>
  <c r="X132" s="1"/>
  <c r="N132" i="19" s="1"/>
  <c r="P131" i="9"/>
  <c r="J131"/>
  <c r="P130"/>
  <c r="J130"/>
  <c r="X130" s="1"/>
  <c r="N130" i="19" s="1"/>
  <c r="P129" i="9"/>
  <c r="J129"/>
  <c r="X129" s="1"/>
  <c r="N129" i="19" s="1"/>
  <c r="P128" i="9"/>
  <c r="J128"/>
  <c r="J127"/>
  <c r="X127" s="1"/>
  <c r="N127" i="19" s="1"/>
  <c r="P126" i="9"/>
  <c r="J126"/>
  <c r="X126" s="1"/>
  <c r="N126" i="19" s="1"/>
  <c r="X125" i="9"/>
  <c r="N125" i="19" s="1"/>
  <c r="P125" i="9"/>
  <c r="J125"/>
  <c r="P124"/>
  <c r="J124"/>
  <c r="P123"/>
  <c r="X123" s="1"/>
  <c r="N123" i="19" s="1"/>
  <c r="J123" i="9"/>
  <c r="P122"/>
  <c r="J122"/>
  <c r="X122" s="1"/>
  <c r="N122" i="19" s="1"/>
  <c r="P121" i="9"/>
  <c r="J121"/>
  <c r="X121" s="1"/>
  <c r="N121" i="19" s="1"/>
  <c r="P120" i="9"/>
  <c r="J120"/>
  <c r="X120" s="1"/>
  <c r="N120" i="19" s="1"/>
  <c r="X119" i="9"/>
  <c r="N119" i="19" s="1"/>
  <c r="P119" i="9"/>
  <c r="J119"/>
  <c r="P118"/>
  <c r="J118"/>
  <c r="P117"/>
  <c r="X117" s="1"/>
  <c r="N117" i="19" s="1"/>
  <c r="J117" i="9"/>
  <c r="P116"/>
  <c r="J116"/>
  <c r="X116" s="1"/>
  <c r="N116" i="19" s="1"/>
  <c r="P115" i="9"/>
  <c r="J115"/>
  <c r="X115" s="1"/>
  <c r="N115" i="19" s="1"/>
  <c r="P114" i="9"/>
  <c r="J114"/>
  <c r="X114" s="1"/>
  <c r="N114" i="19" s="1"/>
  <c r="X113" i="9"/>
  <c r="N113" i="19" s="1"/>
  <c r="P113" i="9"/>
  <c r="J113"/>
  <c r="P112"/>
  <c r="J112"/>
  <c r="P111"/>
  <c r="X111" s="1"/>
  <c r="N111" i="19" s="1"/>
  <c r="J111" i="9"/>
  <c r="P110"/>
  <c r="J110"/>
  <c r="X110" s="1"/>
  <c r="N110" i="19" s="1"/>
  <c r="P109" i="9"/>
  <c r="J109"/>
  <c r="X109" s="1"/>
  <c r="N109" i="19" s="1"/>
  <c r="P108" i="9"/>
  <c r="J108"/>
  <c r="X108" s="1"/>
  <c r="N108" i="19" s="1"/>
  <c r="X107" i="9"/>
  <c r="N107" i="19" s="1"/>
  <c r="P107" i="9"/>
  <c r="J107"/>
  <c r="P106"/>
  <c r="J106"/>
  <c r="P105"/>
  <c r="J105"/>
  <c r="X105" s="1"/>
  <c r="N105" i="19" s="1"/>
  <c r="P104" i="9"/>
  <c r="J104"/>
  <c r="X104" s="1"/>
  <c r="N104" i="19" s="1"/>
  <c r="X103" i="9"/>
  <c r="N103" i="19" s="1"/>
  <c r="P103" i="9"/>
  <c r="J103"/>
  <c r="P102"/>
  <c r="J102"/>
  <c r="P101"/>
  <c r="X101" s="1"/>
  <c r="N101" i="19" s="1"/>
  <c r="J101" i="9"/>
  <c r="P100"/>
  <c r="J100"/>
  <c r="X100" s="1"/>
  <c r="N100" i="19" s="1"/>
  <c r="P99" i="9"/>
  <c r="J99"/>
  <c r="X99" s="1"/>
  <c r="N99" i="19" s="1"/>
  <c r="P98" i="9"/>
  <c r="J98"/>
  <c r="X98" s="1"/>
  <c r="N98" i="19" s="1"/>
  <c r="X97" i="9"/>
  <c r="N97" i="19" s="1"/>
  <c r="P97" i="9"/>
  <c r="J97"/>
  <c r="P96"/>
  <c r="J96"/>
  <c r="P95"/>
  <c r="X95" s="1"/>
  <c r="N95" i="19" s="1"/>
  <c r="J95" i="9"/>
  <c r="P94"/>
  <c r="J94"/>
  <c r="W93"/>
  <c r="V93"/>
  <c r="U93"/>
  <c r="T93"/>
  <c r="S93"/>
  <c r="R93"/>
  <c r="Q93"/>
  <c r="O93"/>
  <c r="N93"/>
  <c r="N217" s="1"/>
  <c r="M93"/>
  <c r="L93"/>
  <c r="K93"/>
  <c r="I93"/>
  <c r="H93"/>
  <c r="G93"/>
  <c r="F93"/>
  <c r="P92"/>
  <c r="J92"/>
  <c r="P91"/>
  <c r="J91"/>
  <c r="P90"/>
  <c r="J90"/>
  <c r="P89"/>
  <c r="X89" s="1"/>
  <c r="N89" i="19" s="1"/>
  <c r="J89" i="9"/>
  <c r="P88"/>
  <c r="J88"/>
  <c r="X88" s="1"/>
  <c r="N88" i="19" s="1"/>
  <c r="P87" i="9"/>
  <c r="X87" s="1"/>
  <c r="N87" i="19" s="1"/>
  <c r="J87" i="9"/>
  <c r="P86"/>
  <c r="J86"/>
  <c r="P85"/>
  <c r="J85"/>
  <c r="X78"/>
  <c r="N78" i="19" s="1"/>
  <c r="P78" i="9"/>
  <c r="J78"/>
  <c r="P77"/>
  <c r="J77"/>
  <c r="P76"/>
  <c r="X76" s="1"/>
  <c r="N76" i="19" s="1"/>
  <c r="J76" i="9"/>
  <c r="P75"/>
  <c r="J75"/>
  <c r="P74"/>
  <c r="J74"/>
  <c r="X74" s="1"/>
  <c r="N74" i="19" s="1"/>
  <c r="P73" i="9"/>
  <c r="J73"/>
  <c r="X73" s="1"/>
  <c r="N73" i="19" s="1"/>
  <c r="X72" i="9"/>
  <c r="N72" i="19" s="1"/>
  <c r="P72" i="9"/>
  <c r="J72"/>
  <c r="P71"/>
  <c r="J71"/>
  <c r="X70"/>
  <c r="N70" i="19" s="1"/>
  <c r="P70" i="9"/>
  <c r="J70"/>
  <c r="P69"/>
  <c r="J69"/>
  <c r="W68"/>
  <c r="V68"/>
  <c r="U68"/>
  <c r="S68"/>
  <c r="R68"/>
  <c r="Q68"/>
  <c r="O68"/>
  <c r="N68"/>
  <c r="M68"/>
  <c r="L68"/>
  <c r="K68"/>
  <c r="I68"/>
  <c r="H68"/>
  <c r="G68"/>
  <c r="F68"/>
  <c r="P67"/>
  <c r="J67"/>
  <c r="X67" s="1"/>
  <c r="N67" i="19" s="1"/>
  <c r="P66" i="9"/>
  <c r="J66"/>
  <c r="P65"/>
  <c r="J65"/>
  <c r="P64"/>
  <c r="J64"/>
  <c r="P63"/>
  <c r="J63"/>
  <c r="X63" s="1"/>
  <c r="N63" i="19" s="1"/>
  <c r="P62" i="9"/>
  <c r="X62" s="1"/>
  <c r="N62" i="19" s="1"/>
  <c r="J62" i="9"/>
  <c r="P61"/>
  <c r="J61"/>
  <c r="X61" s="1"/>
  <c r="N61" i="19" s="1"/>
  <c r="P60" i="9"/>
  <c r="J60"/>
  <c r="P59"/>
  <c r="J59"/>
  <c r="P58"/>
  <c r="J58"/>
  <c r="P57"/>
  <c r="J57"/>
  <c r="X57" s="1"/>
  <c r="N57" i="19" s="1"/>
  <c r="P56" i="9"/>
  <c r="X56" s="1"/>
  <c r="N56" i="19" s="1"/>
  <c r="J56" i="9"/>
  <c r="P55"/>
  <c r="J55"/>
  <c r="X55" s="1"/>
  <c r="N55" i="19" s="1"/>
  <c r="P54" i="9"/>
  <c r="J54"/>
  <c r="P53"/>
  <c r="J53"/>
  <c r="P52"/>
  <c r="J52"/>
  <c r="P51"/>
  <c r="J51"/>
  <c r="X51" s="1"/>
  <c r="N51" i="19" s="1"/>
  <c r="P50" i="9"/>
  <c r="X50" s="1"/>
  <c r="N50" i="19" s="1"/>
  <c r="J50" i="9"/>
  <c r="P49"/>
  <c r="J49"/>
  <c r="X49" s="1"/>
  <c r="N49" i="19" s="1"/>
  <c r="P48" i="9"/>
  <c r="J48"/>
  <c r="P47"/>
  <c r="J47"/>
  <c r="P46"/>
  <c r="J46"/>
  <c r="P45"/>
  <c r="J45"/>
  <c r="X45" s="1"/>
  <c r="N45" i="19" s="1"/>
  <c r="P44" i="9"/>
  <c r="X44" s="1"/>
  <c r="N44" i="19" s="1"/>
  <c r="J44" i="9"/>
  <c r="T43"/>
  <c r="P43"/>
  <c r="J43"/>
  <c r="X42"/>
  <c r="N42" i="19" s="1"/>
  <c r="P42" i="9"/>
  <c r="J42"/>
  <c r="P41"/>
  <c r="J41"/>
  <c r="X41" s="1"/>
  <c r="N41" i="19" s="1"/>
  <c r="T40" i="9"/>
  <c r="T68" s="1"/>
  <c r="P40"/>
  <c r="J40"/>
  <c r="X40" s="1"/>
  <c r="N40" i="19" s="1"/>
  <c r="P39" i="9"/>
  <c r="J39"/>
  <c r="X39" s="1"/>
  <c r="N39" i="19" s="1"/>
  <c r="P38" i="9"/>
  <c r="J38"/>
  <c r="X38" s="1"/>
  <c r="N38" i="19" s="1"/>
  <c r="P37" i="9"/>
  <c r="J37"/>
  <c r="X37" s="1"/>
  <c r="N37" i="19" s="1"/>
  <c r="X36" i="9"/>
  <c r="N36" i="19" s="1"/>
  <c r="P36" i="9"/>
  <c r="J36"/>
  <c r="P35"/>
  <c r="J35"/>
  <c r="P34"/>
  <c r="X34" s="1"/>
  <c r="N34" i="19" s="1"/>
  <c r="J34" i="9"/>
  <c r="P33"/>
  <c r="J33"/>
  <c r="P32"/>
  <c r="J32"/>
  <c r="X32" s="1"/>
  <c r="N32" i="19" s="1"/>
  <c r="P31" i="9"/>
  <c r="J31"/>
  <c r="X31" s="1"/>
  <c r="N31" i="19" s="1"/>
  <c r="X30" i="9"/>
  <c r="N30" i="19" s="1"/>
  <c r="P30" i="9"/>
  <c r="J30"/>
  <c r="P29"/>
  <c r="J29"/>
  <c r="X28"/>
  <c r="N28" i="19" s="1"/>
  <c r="P28" i="9"/>
  <c r="J28"/>
  <c r="P27"/>
  <c r="J27"/>
  <c r="X27" s="1"/>
  <c r="N27" i="19" s="1"/>
  <c r="P26" i="9"/>
  <c r="J26"/>
  <c r="X26" s="1"/>
  <c r="N26" i="19" s="1"/>
  <c r="P25" i="9"/>
  <c r="J25"/>
  <c r="X25" s="1"/>
  <c r="N25" i="19" s="1"/>
  <c r="X24" i="9"/>
  <c r="N24" i="19" s="1"/>
  <c r="P24" i="9"/>
  <c r="J24"/>
  <c r="P23"/>
  <c r="J23"/>
  <c r="P22"/>
  <c r="X22" s="1"/>
  <c r="N22" i="19" s="1"/>
  <c r="J22" i="9"/>
  <c r="P21"/>
  <c r="J21"/>
  <c r="P20"/>
  <c r="J20"/>
  <c r="X20" s="1"/>
  <c r="N20" i="19" s="1"/>
  <c r="P19" i="9"/>
  <c r="J19"/>
  <c r="X19" s="1"/>
  <c r="N19" i="19" s="1"/>
  <c r="X18" i="9"/>
  <c r="N18" i="19" s="1"/>
  <c r="P18" i="9"/>
  <c r="J18"/>
  <c r="P17"/>
  <c r="J17"/>
  <c r="X16"/>
  <c r="N16" i="19" s="1"/>
  <c r="P16" i="9"/>
  <c r="J16"/>
  <c r="P15"/>
  <c r="J15"/>
  <c r="X15" s="1"/>
  <c r="N15" i="19" s="1"/>
  <c r="P14" i="9"/>
  <c r="J14"/>
  <c r="X14" s="1"/>
  <c r="N14" i="19" s="1"/>
  <c r="P13" i="9"/>
  <c r="J13"/>
  <c r="X13" s="1"/>
  <c r="N13" i="19" s="1"/>
  <c r="X12" i="9"/>
  <c r="N12" i="19" s="1"/>
  <c r="P12" i="9"/>
  <c r="J12"/>
  <c r="P11"/>
  <c r="J11"/>
  <c r="P10"/>
  <c r="X10" s="1"/>
  <c r="N10" i="19" s="1"/>
  <c r="J10" i="9"/>
  <c r="P9"/>
  <c r="J9"/>
  <c r="P8"/>
  <c r="J8"/>
  <c r="X8" s="1"/>
  <c r="N8" i="19" s="1"/>
  <c r="P7" i="9"/>
  <c r="J7"/>
  <c r="X7" s="1"/>
  <c r="N7" i="19" s="1"/>
  <c r="X6" i="9"/>
  <c r="N6" i="19" s="1"/>
  <c r="P6" i="9"/>
  <c r="J6"/>
  <c r="W216" i="8"/>
  <c r="V216"/>
  <c r="U216"/>
  <c r="S216"/>
  <c r="R216"/>
  <c r="Q216"/>
  <c r="O216"/>
  <c r="N216"/>
  <c r="M216"/>
  <c r="L216"/>
  <c r="K216"/>
  <c r="I216"/>
  <c r="H216"/>
  <c r="G216"/>
  <c r="F216"/>
  <c r="X215"/>
  <c r="P215"/>
  <c r="J215"/>
  <c r="P214"/>
  <c r="J214"/>
  <c r="X214" s="1"/>
  <c r="X213"/>
  <c r="P213"/>
  <c r="J213"/>
  <c r="P212"/>
  <c r="J212"/>
  <c r="X212" s="1"/>
  <c r="X211"/>
  <c r="P211"/>
  <c r="J211"/>
  <c r="P210"/>
  <c r="J210"/>
  <c r="X210" s="1"/>
  <c r="X209"/>
  <c r="P209"/>
  <c r="J209"/>
  <c r="P208"/>
  <c r="J208"/>
  <c r="X208" s="1"/>
  <c r="X207"/>
  <c r="P207"/>
  <c r="J207"/>
  <c r="P206"/>
  <c r="J206"/>
  <c r="X206" s="1"/>
  <c r="X205"/>
  <c r="P205"/>
  <c r="J205"/>
  <c r="P204"/>
  <c r="J204"/>
  <c r="X204" s="1"/>
  <c r="X203"/>
  <c r="P203"/>
  <c r="J203"/>
  <c r="P202"/>
  <c r="J202"/>
  <c r="X202" s="1"/>
  <c r="X201"/>
  <c r="P201"/>
  <c r="J201"/>
  <c r="P200"/>
  <c r="J200"/>
  <c r="X200" s="1"/>
  <c r="X199"/>
  <c r="P199"/>
  <c r="J199"/>
  <c r="P198"/>
  <c r="J198"/>
  <c r="X198" s="1"/>
  <c r="X197"/>
  <c r="P197"/>
  <c r="J197"/>
  <c r="P196"/>
  <c r="J196"/>
  <c r="X196" s="1"/>
  <c r="X195"/>
  <c r="P195"/>
  <c r="J195"/>
  <c r="T216"/>
  <c r="P194"/>
  <c r="J194"/>
  <c r="X194" s="1"/>
  <c r="X193"/>
  <c r="P193"/>
  <c r="J193"/>
  <c r="P192"/>
  <c r="J192"/>
  <c r="X192" s="1"/>
  <c r="X191"/>
  <c r="T191"/>
  <c r="P191"/>
  <c r="J191"/>
  <c r="P190"/>
  <c r="X190" s="1"/>
  <c r="J190"/>
  <c r="P189"/>
  <c r="J189"/>
  <c r="X189" s="1"/>
  <c r="P188"/>
  <c r="X188" s="1"/>
  <c r="J188"/>
  <c r="P187"/>
  <c r="J187"/>
  <c r="X187" s="1"/>
  <c r="P186"/>
  <c r="X186" s="1"/>
  <c r="J186"/>
  <c r="P185"/>
  <c r="J185"/>
  <c r="X185" s="1"/>
  <c r="P184"/>
  <c r="X184" s="1"/>
  <c r="J184"/>
  <c r="P183"/>
  <c r="J183"/>
  <c r="X183" s="1"/>
  <c r="P182"/>
  <c r="X182" s="1"/>
  <c r="J182"/>
  <c r="P181"/>
  <c r="J181"/>
  <c r="X181" s="1"/>
  <c r="P180"/>
  <c r="X180" s="1"/>
  <c r="J180"/>
  <c r="P179"/>
  <c r="J179"/>
  <c r="X179" s="1"/>
  <c r="P178"/>
  <c r="X178" s="1"/>
  <c r="X177"/>
  <c r="P177"/>
  <c r="P176"/>
  <c r="X176" s="1"/>
  <c r="P175"/>
  <c r="X175" s="1"/>
  <c r="J175"/>
  <c r="P174"/>
  <c r="J174"/>
  <c r="X174" s="1"/>
  <c r="P173"/>
  <c r="X173" s="1"/>
  <c r="J173"/>
  <c r="P172"/>
  <c r="J172"/>
  <c r="X172" s="1"/>
  <c r="P171"/>
  <c r="X171" s="1"/>
  <c r="J171"/>
  <c r="P170"/>
  <c r="J170"/>
  <c r="X170" s="1"/>
  <c r="P169"/>
  <c r="X169" s="1"/>
  <c r="J169"/>
  <c r="P168"/>
  <c r="J168"/>
  <c r="X168" s="1"/>
  <c r="P167"/>
  <c r="X167" s="1"/>
  <c r="J167"/>
  <c r="P166"/>
  <c r="J166"/>
  <c r="X166" s="1"/>
  <c r="P165"/>
  <c r="X165" s="1"/>
  <c r="J165"/>
  <c r="P164"/>
  <c r="J164"/>
  <c r="X164" s="1"/>
  <c r="P163"/>
  <c r="X163" s="1"/>
  <c r="J163"/>
  <c r="P162"/>
  <c r="J162"/>
  <c r="X162" s="1"/>
  <c r="P161"/>
  <c r="X161" s="1"/>
  <c r="J161"/>
  <c r="P160"/>
  <c r="J160"/>
  <c r="X160" s="1"/>
  <c r="P159"/>
  <c r="J159"/>
  <c r="W158"/>
  <c r="V158"/>
  <c r="U158"/>
  <c r="T158"/>
  <c r="S158"/>
  <c r="R158"/>
  <c r="Q158"/>
  <c r="O158"/>
  <c r="N158"/>
  <c r="M158"/>
  <c r="L158"/>
  <c r="K158"/>
  <c r="I158"/>
  <c r="H158"/>
  <c r="G158"/>
  <c r="F158"/>
  <c r="T157"/>
  <c r="P157"/>
  <c r="J157"/>
  <c r="X157" s="1"/>
  <c r="X156"/>
  <c r="P156"/>
  <c r="J156"/>
  <c r="P155"/>
  <c r="J155"/>
  <c r="X155" s="1"/>
  <c r="X154"/>
  <c r="P154"/>
  <c r="J154"/>
  <c r="P153"/>
  <c r="J153"/>
  <c r="X153" s="1"/>
  <c r="X152"/>
  <c r="P152"/>
  <c r="J152"/>
  <c r="P151"/>
  <c r="J151"/>
  <c r="X151" s="1"/>
  <c r="X150"/>
  <c r="P150"/>
  <c r="J150"/>
  <c r="P149"/>
  <c r="J149"/>
  <c r="X149" s="1"/>
  <c r="X148"/>
  <c r="P148"/>
  <c r="J148"/>
  <c r="T147"/>
  <c r="X147" s="1"/>
  <c r="P147"/>
  <c r="J147"/>
  <c r="P146"/>
  <c r="J146"/>
  <c r="X146" s="1"/>
  <c r="X145"/>
  <c r="P145"/>
  <c r="J145"/>
  <c r="P144"/>
  <c r="J144"/>
  <c r="X144" s="1"/>
  <c r="X143"/>
  <c r="P143"/>
  <c r="J143"/>
  <c r="T142"/>
  <c r="P142"/>
  <c r="J142"/>
  <c r="X142" s="1"/>
  <c r="X141"/>
  <c r="P141"/>
  <c r="J141"/>
  <c r="P140"/>
  <c r="J140"/>
  <c r="X140" s="1"/>
  <c r="X139"/>
  <c r="P139"/>
  <c r="J139"/>
  <c r="P138"/>
  <c r="J138"/>
  <c r="X138" s="1"/>
  <c r="X137"/>
  <c r="P137"/>
  <c r="J137"/>
  <c r="P136"/>
  <c r="P158" s="1"/>
  <c r="J136"/>
  <c r="X136" s="1"/>
  <c r="X135"/>
  <c r="P135"/>
  <c r="J135"/>
  <c r="W134"/>
  <c r="V134"/>
  <c r="U134"/>
  <c r="T134"/>
  <c r="S134"/>
  <c r="R134"/>
  <c r="Q134"/>
  <c r="O134"/>
  <c r="N134"/>
  <c r="M134"/>
  <c r="K134"/>
  <c r="I134"/>
  <c r="H134"/>
  <c r="G134"/>
  <c r="F134"/>
  <c r="P133"/>
  <c r="X133" s="1"/>
  <c r="J133"/>
  <c r="P132"/>
  <c r="J132"/>
  <c r="X132" s="1"/>
  <c r="P131"/>
  <c r="X131" s="1"/>
  <c r="J131"/>
  <c r="P130"/>
  <c r="J130"/>
  <c r="X130" s="1"/>
  <c r="P129"/>
  <c r="X129" s="1"/>
  <c r="J129"/>
  <c r="P128"/>
  <c r="J128"/>
  <c r="X128" s="1"/>
  <c r="P127"/>
  <c r="X127" s="1"/>
  <c r="J127"/>
  <c r="J126"/>
  <c r="X126" s="1"/>
  <c r="P125"/>
  <c r="J125"/>
  <c r="X125" s="1"/>
  <c r="X124"/>
  <c r="P124"/>
  <c r="J124"/>
  <c r="P123"/>
  <c r="J123"/>
  <c r="X123" s="1"/>
  <c r="X122"/>
  <c r="P122"/>
  <c r="J122"/>
  <c r="P121"/>
  <c r="J121"/>
  <c r="X121" s="1"/>
  <c r="X120"/>
  <c r="P120"/>
  <c r="J120"/>
  <c r="P119"/>
  <c r="J119"/>
  <c r="X119" s="1"/>
  <c r="X118"/>
  <c r="P118"/>
  <c r="J118"/>
  <c r="P117"/>
  <c r="J117"/>
  <c r="X117" s="1"/>
  <c r="X116"/>
  <c r="P116"/>
  <c r="J116"/>
  <c r="P115"/>
  <c r="J115"/>
  <c r="X115" s="1"/>
  <c r="X114"/>
  <c r="P114"/>
  <c r="J114"/>
  <c r="P113"/>
  <c r="J113"/>
  <c r="X113" s="1"/>
  <c r="X112"/>
  <c r="P112"/>
  <c r="J112"/>
  <c r="P111"/>
  <c r="J111"/>
  <c r="X111" s="1"/>
  <c r="X110"/>
  <c r="P110"/>
  <c r="J110"/>
  <c r="P109"/>
  <c r="J109"/>
  <c r="X109" s="1"/>
  <c r="X108"/>
  <c r="P108"/>
  <c r="J108"/>
  <c r="P107"/>
  <c r="J107"/>
  <c r="X107" s="1"/>
  <c r="X106"/>
  <c r="P106"/>
  <c r="J106"/>
  <c r="P105"/>
  <c r="J105"/>
  <c r="X104"/>
  <c r="P104"/>
  <c r="J104"/>
  <c r="P103"/>
  <c r="J103"/>
  <c r="X103" s="1"/>
  <c r="X102"/>
  <c r="P102"/>
  <c r="J102"/>
  <c r="P101"/>
  <c r="L134"/>
  <c r="J101"/>
  <c r="P100"/>
  <c r="J100"/>
  <c r="X100" s="1"/>
  <c r="P99"/>
  <c r="X99" s="1"/>
  <c r="J99"/>
  <c r="P98"/>
  <c r="J98"/>
  <c r="X98" s="1"/>
  <c r="P97"/>
  <c r="X97" s="1"/>
  <c r="J97"/>
  <c r="P96"/>
  <c r="J96"/>
  <c r="X96" s="1"/>
  <c r="P95"/>
  <c r="X95" s="1"/>
  <c r="J95"/>
  <c r="P94"/>
  <c r="J94"/>
  <c r="X94" s="1"/>
  <c r="W93"/>
  <c r="V93"/>
  <c r="U93"/>
  <c r="T93"/>
  <c r="S93"/>
  <c r="R93"/>
  <c r="Q93"/>
  <c r="O93"/>
  <c r="N93"/>
  <c r="M93"/>
  <c r="L93"/>
  <c r="K93"/>
  <c r="I93"/>
  <c r="H93"/>
  <c r="G93"/>
  <c r="X92"/>
  <c r="P92"/>
  <c r="J92"/>
  <c r="X91"/>
  <c r="X90"/>
  <c r="X89"/>
  <c r="X88"/>
  <c r="X87"/>
  <c r="X86"/>
  <c r="P85"/>
  <c r="J85"/>
  <c r="X85" s="1"/>
  <c r="X84"/>
  <c r="P84"/>
  <c r="J84"/>
  <c r="P78"/>
  <c r="J78"/>
  <c r="X78" s="1"/>
  <c r="X77"/>
  <c r="P77"/>
  <c r="J77"/>
  <c r="P76"/>
  <c r="J76"/>
  <c r="X76" s="1"/>
  <c r="X75"/>
  <c r="P75"/>
  <c r="J75"/>
  <c r="P74"/>
  <c r="X74" s="1"/>
  <c r="J74"/>
  <c r="P73"/>
  <c r="J73"/>
  <c r="X73" s="1"/>
  <c r="P72"/>
  <c r="X72" s="1"/>
  <c r="J72"/>
  <c r="P71"/>
  <c r="J71"/>
  <c r="X71" s="1"/>
  <c r="P70"/>
  <c r="J70"/>
  <c r="X69"/>
  <c r="W68"/>
  <c r="V68"/>
  <c r="U68"/>
  <c r="T68"/>
  <c r="S68"/>
  <c r="R68"/>
  <c r="Q68"/>
  <c r="O68"/>
  <c r="N68"/>
  <c r="M68"/>
  <c r="L68"/>
  <c r="K68"/>
  <c r="I68"/>
  <c r="H68"/>
  <c r="G68"/>
  <c r="F68"/>
  <c r="P67"/>
  <c r="J67"/>
  <c r="X67" s="1"/>
  <c r="X66"/>
  <c r="P66"/>
  <c r="J66"/>
  <c r="P65"/>
  <c r="J65"/>
  <c r="X65" s="1"/>
  <c r="X64"/>
  <c r="P64"/>
  <c r="J64"/>
  <c r="P63"/>
  <c r="J63"/>
  <c r="X63" s="1"/>
  <c r="X62"/>
  <c r="P62"/>
  <c r="J62"/>
  <c r="P61"/>
  <c r="J61"/>
  <c r="X61" s="1"/>
  <c r="X60"/>
  <c r="P60"/>
  <c r="J60"/>
  <c r="P59"/>
  <c r="J59"/>
  <c r="X59" s="1"/>
  <c r="X58"/>
  <c r="P58"/>
  <c r="J58"/>
  <c r="P57"/>
  <c r="J57"/>
  <c r="X57" s="1"/>
  <c r="X56"/>
  <c r="P56"/>
  <c r="J56"/>
  <c r="P55"/>
  <c r="J55"/>
  <c r="X55" s="1"/>
  <c r="X54"/>
  <c r="P54"/>
  <c r="J54"/>
  <c r="P53"/>
  <c r="J53"/>
  <c r="X53" s="1"/>
  <c r="X52"/>
  <c r="P52"/>
  <c r="J52"/>
  <c r="J51"/>
  <c r="X51" s="1"/>
  <c r="X50"/>
  <c r="P50"/>
  <c r="J50"/>
  <c r="P49"/>
  <c r="J49"/>
  <c r="X49" s="1"/>
  <c r="X48"/>
  <c r="P48"/>
  <c r="J48"/>
  <c r="P47"/>
  <c r="J47"/>
  <c r="X47" s="1"/>
  <c r="X46"/>
  <c r="P46"/>
  <c r="J46"/>
  <c r="P45"/>
  <c r="J45"/>
  <c r="X45" s="1"/>
  <c r="X44"/>
  <c r="P44"/>
  <c r="J44"/>
  <c r="T43"/>
  <c r="P43"/>
  <c r="J43"/>
  <c r="X43" s="1"/>
  <c r="X42"/>
  <c r="P42"/>
  <c r="J42"/>
  <c r="P41"/>
  <c r="J41"/>
  <c r="X41" s="1"/>
  <c r="X40"/>
  <c r="T40"/>
  <c r="P40"/>
  <c r="J40"/>
  <c r="P39"/>
  <c r="X39" s="1"/>
  <c r="J39"/>
  <c r="P38"/>
  <c r="J38"/>
  <c r="X38" s="1"/>
  <c r="P37"/>
  <c r="X37" s="1"/>
  <c r="J37"/>
  <c r="P36"/>
  <c r="J36"/>
  <c r="X36" s="1"/>
  <c r="P35"/>
  <c r="X35" s="1"/>
  <c r="J35"/>
  <c r="P34"/>
  <c r="J34"/>
  <c r="X34" s="1"/>
  <c r="P33"/>
  <c r="X33" s="1"/>
  <c r="J33"/>
  <c r="P32"/>
  <c r="J32"/>
  <c r="X32" s="1"/>
  <c r="P31"/>
  <c r="X31" s="1"/>
  <c r="J31"/>
  <c r="P30"/>
  <c r="J30"/>
  <c r="X30" s="1"/>
  <c r="P29"/>
  <c r="X29" s="1"/>
  <c r="X28"/>
  <c r="P28"/>
  <c r="J28"/>
  <c r="P27"/>
  <c r="J27"/>
  <c r="X27" s="1"/>
  <c r="X26"/>
  <c r="P26"/>
  <c r="J26"/>
  <c r="P25"/>
  <c r="J25"/>
  <c r="X25" s="1"/>
  <c r="X24"/>
  <c r="P24"/>
  <c r="J24"/>
  <c r="P23"/>
  <c r="J23"/>
  <c r="X23" s="1"/>
  <c r="X22"/>
  <c r="P22"/>
  <c r="J22"/>
  <c r="P21"/>
  <c r="J21"/>
  <c r="X21" s="1"/>
  <c r="X20"/>
  <c r="P20"/>
  <c r="J20"/>
  <c r="P19"/>
  <c r="J19"/>
  <c r="X19" s="1"/>
  <c r="X18"/>
  <c r="P18"/>
  <c r="J18"/>
  <c r="P17"/>
  <c r="J17"/>
  <c r="X17" s="1"/>
  <c r="X16"/>
  <c r="P16"/>
  <c r="J16"/>
  <c r="P15"/>
  <c r="J15"/>
  <c r="X15" s="1"/>
  <c r="X14"/>
  <c r="P14"/>
  <c r="J14"/>
  <c r="P13"/>
  <c r="J13"/>
  <c r="X13" s="1"/>
  <c r="X12"/>
  <c r="P12"/>
  <c r="J12"/>
  <c r="P11"/>
  <c r="J11"/>
  <c r="X11" s="1"/>
  <c r="X10"/>
  <c r="P10"/>
  <c r="J10"/>
  <c r="P9"/>
  <c r="J9"/>
  <c r="X9" s="1"/>
  <c r="X8"/>
  <c r="P8"/>
  <c r="J8"/>
  <c r="P7"/>
  <c r="J7"/>
  <c r="X6"/>
  <c r="P6"/>
  <c r="J6"/>
  <c r="W216" i="7"/>
  <c r="V216"/>
  <c r="U216"/>
  <c r="S216"/>
  <c r="R216"/>
  <c r="Q216"/>
  <c r="O216"/>
  <c r="N216"/>
  <c r="M216"/>
  <c r="L216"/>
  <c r="K216"/>
  <c r="I216"/>
  <c r="H216"/>
  <c r="G216"/>
  <c r="F216"/>
  <c r="X215"/>
  <c r="P215"/>
  <c r="J215"/>
  <c r="P214"/>
  <c r="J214"/>
  <c r="X214" s="1"/>
  <c r="X213"/>
  <c r="P213"/>
  <c r="J213"/>
  <c r="P212"/>
  <c r="J212"/>
  <c r="X212" s="1"/>
  <c r="X211"/>
  <c r="P211"/>
  <c r="J211"/>
  <c r="P210"/>
  <c r="J210"/>
  <c r="X210" s="1"/>
  <c r="X209"/>
  <c r="P209"/>
  <c r="J209"/>
  <c r="P208"/>
  <c r="J208"/>
  <c r="X208" s="1"/>
  <c r="X207"/>
  <c r="P207"/>
  <c r="J207"/>
  <c r="P206"/>
  <c r="J206"/>
  <c r="X206" s="1"/>
  <c r="X205"/>
  <c r="P205"/>
  <c r="J205"/>
  <c r="P204"/>
  <c r="J204"/>
  <c r="X204" s="1"/>
  <c r="X203"/>
  <c r="P203"/>
  <c r="J203"/>
  <c r="P202"/>
  <c r="J202"/>
  <c r="X202" s="1"/>
  <c r="X201"/>
  <c r="P201"/>
  <c r="J201"/>
  <c r="P200"/>
  <c r="J200"/>
  <c r="X200" s="1"/>
  <c r="X199"/>
  <c r="P199"/>
  <c r="J199"/>
  <c r="P198"/>
  <c r="J198"/>
  <c r="X198" s="1"/>
  <c r="X197"/>
  <c r="P197"/>
  <c r="J197"/>
  <c r="P196"/>
  <c r="J196"/>
  <c r="X196" s="1"/>
  <c r="X195"/>
  <c r="P195"/>
  <c r="J195"/>
  <c r="P194"/>
  <c r="J194"/>
  <c r="P193"/>
  <c r="J193"/>
  <c r="X193" s="1"/>
  <c r="P192"/>
  <c r="X192" s="1"/>
  <c r="J192"/>
  <c r="T216"/>
  <c r="P191"/>
  <c r="J191"/>
  <c r="X191" s="1"/>
  <c r="X190"/>
  <c r="P190"/>
  <c r="J190"/>
  <c r="P189"/>
  <c r="J189"/>
  <c r="X189" s="1"/>
  <c r="X188"/>
  <c r="P188"/>
  <c r="J188"/>
  <c r="P187"/>
  <c r="J187"/>
  <c r="X187" s="1"/>
  <c r="X186"/>
  <c r="P186"/>
  <c r="J186"/>
  <c r="P185"/>
  <c r="J185"/>
  <c r="X185" s="1"/>
  <c r="X184"/>
  <c r="P184"/>
  <c r="J184"/>
  <c r="P183"/>
  <c r="J183"/>
  <c r="X183" s="1"/>
  <c r="X182"/>
  <c r="P182"/>
  <c r="J182"/>
  <c r="P181"/>
  <c r="J181"/>
  <c r="X181" s="1"/>
  <c r="X180"/>
  <c r="P180"/>
  <c r="J180"/>
  <c r="P179"/>
  <c r="J179"/>
  <c r="X179" s="1"/>
  <c r="X178"/>
  <c r="P178"/>
  <c r="J178"/>
  <c r="P177"/>
  <c r="J177"/>
  <c r="X177" s="1"/>
  <c r="X176"/>
  <c r="P176"/>
  <c r="J176"/>
  <c r="P175"/>
  <c r="J175"/>
  <c r="X175" s="1"/>
  <c r="X174"/>
  <c r="P174"/>
  <c r="J174"/>
  <c r="P173"/>
  <c r="J173"/>
  <c r="X173" s="1"/>
  <c r="X172"/>
  <c r="P172"/>
  <c r="J172"/>
  <c r="P171"/>
  <c r="J171"/>
  <c r="X171" s="1"/>
  <c r="X170"/>
  <c r="P170"/>
  <c r="J170"/>
  <c r="P169"/>
  <c r="J169"/>
  <c r="X169" s="1"/>
  <c r="X168"/>
  <c r="P168"/>
  <c r="J168"/>
  <c r="P167"/>
  <c r="J167"/>
  <c r="X167" s="1"/>
  <c r="X166"/>
  <c r="P166"/>
  <c r="J166"/>
  <c r="P165"/>
  <c r="J165"/>
  <c r="X165" s="1"/>
  <c r="X164"/>
  <c r="P164"/>
  <c r="J164"/>
  <c r="P163"/>
  <c r="J163"/>
  <c r="X163" s="1"/>
  <c r="X162"/>
  <c r="P162"/>
  <c r="J162"/>
  <c r="P161"/>
  <c r="J161"/>
  <c r="X161" s="1"/>
  <c r="X160"/>
  <c r="P160"/>
  <c r="J160"/>
  <c r="P159"/>
  <c r="J159"/>
  <c r="X159" s="1"/>
  <c r="W158"/>
  <c r="V158"/>
  <c r="U158"/>
  <c r="S158"/>
  <c r="R158"/>
  <c r="Q158"/>
  <c r="O158"/>
  <c r="N158"/>
  <c r="M158"/>
  <c r="L158"/>
  <c r="K158"/>
  <c r="I158"/>
  <c r="H158"/>
  <c r="G158"/>
  <c r="F158"/>
  <c r="X157"/>
  <c r="T157"/>
  <c r="P157"/>
  <c r="J157"/>
  <c r="P156"/>
  <c r="X156" s="1"/>
  <c r="J156"/>
  <c r="P155"/>
  <c r="J155"/>
  <c r="X155" s="1"/>
  <c r="P154"/>
  <c r="X154" s="1"/>
  <c r="J154"/>
  <c r="P153"/>
  <c r="J153"/>
  <c r="X153" s="1"/>
  <c r="P152"/>
  <c r="X152" s="1"/>
  <c r="J152"/>
  <c r="P151"/>
  <c r="J151"/>
  <c r="X151" s="1"/>
  <c r="T150"/>
  <c r="X150" s="1"/>
  <c r="P150"/>
  <c r="J150"/>
  <c r="P149"/>
  <c r="J149"/>
  <c r="X149" s="1"/>
  <c r="X148"/>
  <c r="P148"/>
  <c r="J148"/>
  <c r="T147"/>
  <c r="P147"/>
  <c r="J147"/>
  <c r="X147" s="1"/>
  <c r="P146"/>
  <c r="J146"/>
  <c r="X146" s="1"/>
  <c r="P145"/>
  <c r="X145" s="1"/>
  <c r="J145"/>
  <c r="P144"/>
  <c r="J144"/>
  <c r="X144" s="1"/>
  <c r="P143"/>
  <c r="X143" s="1"/>
  <c r="J143"/>
  <c r="T142"/>
  <c r="P142"/>
  <c r="J142"/>
  <c r="X142" s="1"/>
  <c r="X141"/>
  <c r="P141"/>
  <c r="J141"/>
  <c r="P140"/>
  <c r="J140"/>
  <c r="X140" s="1"/>
  <c r="X139"/>
  <c r="P139"/>
  <c r="J139"/>
  <c r="P138"/>
  <c r="J138"/>
  <c r="X138" s="1"/>
  <c r="X137"/>
  <c r="P137"/>
  <c r="J137"/>
  <c r="P136"/>
  <c r="J136"/>
  <c r="X136" s="1"/>
  <c r="X135"/>
  <c r="P135"/>
  <c r="P158" s="1"/>
  <c r="J135"/>
  <c r="J158" s="1"/>
  <c r="W134"/>
  <c r="V134"/>
  <c r="U134"/>
  <c r="T134"/>
  <c r="S134"/>
  <c r="R134"/>
  <c r="Q134"/>
  <c r="O134"/>
  <c r="N134"/>
  <c r="M134"/>
  <c r="K134"/>
  <c r="I134"/>
  <c r="H134"/>
  <c r="G134"/>
  <c r="F134"/>
  <c r="P133"/>
  <c r="J133"/>
  <c r="X133" s="1"/>
  <c r="X132"/>
  <c r="P132"/>
  <c r="J132"/>
  <c r="P131"/>
  <c r="J131"/>
  <c r="X131" s="1"/>
  <c r="X130"/>
  <c r="P130"/>
  <c r="J130"/>
  <c r="P129"/>
  <c r="J129"/>
  <c r="X129" s="1"/>
  <c r="X128"/>
  <c r="P128"/>
  <c r="J128"/>
  <c r="P127"/>
  <c r="J127"/>
  <c r="X127" s="1"/>
  <c r="X126"/>
  <c r="P126"/>
  <c r="J126"/>
  <c r="P125"/>
  <c r="J125"/>
  <c r="X125" s="1"/>
  <c r="X124"/>
  <c r="P124"/>
  <c r="J124"/>
  <c r="P123"/>
  <c r="J123"/>
  <c r="X123" s="1"/>
  <c r="X122"/>
  <c r="P122"/>
  <c r="J122"/>
  <c r="P121"/>
  <c r="J121"/>
  <c r="X121" s="1"/>
  <c r="X120"/>
  <c r="P120"/>
  <c r="J120"/>
  <c r="P119"/>
  <c r="J119"/>
  <c r="X119" s="1"/>
  <c r="X118"/>
  <c r="P118"/>
  <c r="J118"/>
  <c r="P117"/>
  <c r="J117"/>
  <c r="X117" s="1"/>
  <c r="X116"/>
  <c r="P116"/>
  <c r="J116"/>
  <c r="P115"/>
  <c r="J115"/>
  <c r="X115" s="1"/>
  <c r="X114"/>
  <c r="P114"/>
  <c r="J114"/>
  <c r="P113"/>
  <c r="J113"/>
  <c r="X113" s="1"/>
  <c r="X112"/>
  <c r="P112"/>
  <c r="J112"/>
  <c r="P111"/>
  <c r="J111"/>
  <c r="X111" s="1"/>
  <c r="X110"/>
  <c r="P110"/>
  <c r="J110"/>
  <c r="P109"/>
  <c r="J109"/>
  <c r="X109" s="1"/>
  <c r="X108"/>
  <c r="P108"/>
  <c r="J108"/>
  <c r="P107"/>
  <c r="J107"/>
  <c r="X107" s="1"/>
  <c r="X106"/>
  <c r="P106"/>
  <c r="J106"/>
  <c r="P105"/>
  <c r="J105"/>
  <c r="X104"/>
  <c r="P104"/>
  <c r="J104"/>
  <c r="P103"/>
  <c r="J103"/>
  <c r="X102"/>
  <c r="P102"/>
  <c r="J102"/>
  <c r="P101"/>
  <c r="L134"/>
  <c r="J101"/>
  <c r="P100"/>
  <c r="J100"/>
  <c r="X100" s="1"/>
  <c r="P99"/>
  <c r="X99" s="1"/>
  <c r="J99"/>
  <c r="P98"/>
  <c r="J98"/>
  <c r="X98" s="1"/>
  <c r="P97"/>
  <c r="X97" s="1"/>
  <c r="J97"/>
  <c r="P96"/>
  <c r="J96"/>
  <c r="X96" s="1"/>
  <c r="P95"/>
  <c r="J95"/>
  <c r="P94"/>
  <c r="J94"/>
  <c r="X94" s="1"/>
  <c r="W93"/>
  <c r="W217" s="1"/>
  <c r="V93"/>
  <c r="U93"/>
  <c r="T93"/>
  <c r="S93"/>
  <c r="R93"/>
  <c r="Q93"/>
  <c r="O93"/>
  <c r="N93"/>
  <c r="M93"/>
  <c r="L93"/>
  <c r="K93"/>
  <c r="I93"/>
  <c r="H93"/>
  <c r="G93"/>
  <c r="X92"/>
  <c r="P92"/>
  <c r="J92"/>
  <c r="P91"/>
  <c r="J91"/>
  <c r="X91" s="1"/>
  <c r="X90"/>
  <c r="P90"/>
  <c r="J90"/>
  <c r="P89"/>
  <c r="J89"/>
  <c r="X89" s="1"/>
  <c r="X88"/>
  <c r="P88"/>
  <c r="J88"/>
  <c r="P87"/>
  <c r="J87"/>
  <c r="X87" s="1"/>
  <c r="X86"/>
  <c r="P86"/>
  <c r="J86"/>
  <c r="P85"/>
  <c r="J85"/>
  <c r="X85" s="1"/>
  <c r="X84"/>
  <c r="P84"/>
  <c r="J84"/>
  <c r="F93"/>
  <c r="P78"/>
  <c r="J78"/>
  <c r="X78" s="1"/>
  <c r="X77"/>
  <c r="P77"/>
  <c r="J77"/>
  <c r="P76"/>
  <c r="J76"/>
  <c r="X76" s="1"/>
  <c r="X75"/>
  <c r="P75"/>
  <c r="J75"/>
  <c r="P74"/>
  <c r="X74" s="1"/>
  <c r="J74"/>
  <c r="P73"/>
  <c r="J73"/>
  <c r="X73" s="1"/>
  <c r="P72"/>
  <c r="X72" s="1"/>
  <c r="J72"/>
  <c r="P71"/>
  <c r="J71"/>
  <c r="X71" s="1"/>
  <c r="P70"/>
  <c r="J70"/>
  <c r="P69"/>
  <c r="J69"/>
  <c r="X69" s="1"/>
  <c r="W68"/>
  <c r="V68"/>
  <c r="U68"/>
  <c r="S68"/>
  <c r="R68"/>
  <c r="Q68"/>
  <c r="O68"/>
  <c r="N68"/>
  <c r="M68"/>
  <c r="L68"/>
  <c r="K68"/>
  <c r="K217" s="1"/>
  <c r="I68"/>
  <c r="H68"/>
  <c r="G68"/>
  <c r="F68"/>
  <c r="X67"/>
  <c r="P67"/>
  <c r="J67"/>
  <c r="P66"/>
  <c r="J66"/>
  <c r="X66" s="1"/>
  <c r="X65"/>
  <c r="P65"/>
  <c r="J65"/>
  <c r="P64"/>
  <c r="J64"/>
  <c r="X64" s="1"/>
  <c r="X63"/>
  <c r="P63"/>
  <c r="J63"/>
  <c r="P62"/>
  <c r="J62"/>
  <c r="X62" s="1"/>
  <c r="X61"/>
  <c r="P61"/>
  <c r="J61"/>
  <c r="P60"/>
  <c r="J60"/>
  <c r="X60" s="1"/>
  <c r="X59"/>
  <c r="P59"/>
  <c r="J59"/>
  <c r="P58"/>
  <c r="J58"/>
  <c r="X58" s="1"/>
  <c r="X57"/>
  <c r="P57"/>
  <c r="J57"/>
  <c r="P56"/>
  <c r="J56"/>
  <c r="X56" s="1"/>
  <c r="X55"/>
  <c r="P55"/>
  <c r="J55"/>
  <c r="P54"/>
  <c r="J54"/>
  <c r="X54" s="1"/>
  <c r="X53"/>
  <c r="P53"/>
  <c r="J53"/>
  <c r="P52"/>
  <c r="J52"/>
  <c r="X52" s="1"/>
  <c r="X51"/>
  <c r="P51"/>
  <c r="J51"/>
  <c r="P50"/>
  <c r="J50"/>
  <c r="X50" s="1"/>
  <c r="X49"/>
  <c r="P49"/>
  <c r="J49"/>
  <c r="P48"/>
  <c r="J48"/>
  <c r="X48" s="1"/>
  <c r="X47"/>
  <c r="P47"/>
  <c r="J47"/>
  <c r="P46"/>
  <c r="J46"/>
  <c r="X46" s="1"/>
  <c r="X45"/>
  <c r="P45"/>
  <c r="J45"/>
  <c r="P44"/>
  <c r="J44"/>
  <c r="X44" s="1"/>
  <c r="X43"/>
  <c r="T43"/>
  <c r="P43"/>
  <c r="J43"/>
  <c r="P42"/>
  <c r="J42"/>
  <c r="X42" s="1"/>
  <c r="X41"/>
  <c r="P41"/>
  <c r="J41"/>
  <c r="T40"/>
  <c r="T68" s="1"/>
  <c r="P40"/>
  <c r="J40"/>
  <c r="X40" s="1"/>
  <c r="P39"/>
  <c r="J39"/>
  <c r="X39" s="1"/>
  <c r="P38"/>
  <c r="X38" s="1"/>
  <c r="J38"/>
  <c r="P37"/>
  <c r="J37"/>
  <c r="X37" s="1"/>
  <c r="P36"/>
  <c r="X36" s="1"/>
  <c r="J36"/>
  <c r="P35"/>
  <c r="J35"/>
  <c r="X35" s="1"/>
  <c r="P34"/>
  <c r="X34" s="1"/>
  <c r="J34"/>
  <c r="P33"/>
  <c r="J33"/>
  <c r="X33" s="1"/>
  <c r="P32"/>
  <c r="X32" s="1"/>
  <c r="J32"/>
  <c r="P31"/>
  <c r="J31"/>
  <c r="X31" s="1"/>
  <c r="P30"/>
  <c r="X30" s="1"/>
  <c r="J30"/>
  <c r="P29"/>
  <c r="J29"/>
  <c r="X29" s="1"/>
  <c r="P28"/>
  <c r="X28" s="1"/>
  <c r="J28"/>
  <c r="P27"/>
  <c r="J27"/>
  <c r="X27" s="1"/>
  <c r="P26"/>
  <c r="X26" s="1"/>
  <c r="J26"/>
  <c r="P25"/>
  <c r="J25"/>
  <c r="X25" s="1"/>
  <c r="P24"/>
  <c r="X24" s="1"/>
  <c r="J24"/>
  <c r="P23"/>
  <c r="J23"/>
  <c r="X23" s="1"/>
  <c r="P22"/>
  <c r="X22" s="1"/>
  <c r="J22"/>
  <c r="P21"/>
  <c r="J21"/>
  <c r="X21" s="1"/>
  <c r="P20"/>
  <c r="X20" s="1"/>
  <c r="J20"/>
  <c r="P19"/>
  <c r="J19"/>
  <c r="X19" s="1"/>
  <c r="P18"/>
  <c r="X18" s="1"/>
  <c r="J18"/>
  <c r="P17"/>
  <c r="J17"/>
  <c r="X17" s="1"/>
  <c r="P16"/>
  <c r="X16" s="1"/>
  <c r="J16"/>
  <c r="P15"/>
  <c r="J15"/>
  <c r="X15" s="1"/>
  <c r="P14"/>
  <c r="X14" s="1"/>
  <c r="J14"/>
  <c r="P13"/>
  <c r="J13"/>
  <c r="X13" s="1"/>
  <c r="P12"/>
  <c r="X12" s="1"/>
  <c r="J12"/>
  <c r="P11"/>
  <c r="J11"/>
  <c r="X11" s="1"/>
  <c r="P10"/>
  <c r="X10" s="1"/>
  <c r="J10"/>
  <c r="P9"/>
  <c r="J9"/>
  <c r="X9" s="1"/>
  <c r="P8"/>
  <c r="X8" s="1"/>
  <c r="J8"/>
  <c r="P7"/>
  <c r="J7"/>
  <c r="X7" s="1"/>
  <c r="P6"/>
  <c r="J6"/>
  <c r="J68" s="1"/>
  <c r="W216" i="6"/>
  <c r="V216"/>
  <c r="U216"/>
  <c r="T216"/>
  <c r="S216"/>
  <c r="R216"/>
  <c r="Q216"/>
  <c r="O216"/>
  <c r="N216"/>
  <c r="M216"/>
  <c r="L216"/>
  <c r="K216"/>
  <c r="I216"/>
  <c r="H216"/>
  <c r="G216"/>
  <c r="F216"/>
  <c r="X215"/>
  <c r="P215"/>
  <c r="J215"/>
  <c r="P214"/>
  <c r="J214"/>
  <c r="X214" s="1"/>
  <c r="X213"/>
  <c r="P213"/>
  <c r="J213"/>
  <c r="P212"/>
  <c r="J212"/>
  <c r="X212" s="1"/>
  <c r="X211"/>
  <c r="P211"/>
  <c r="J211"/>
  <c r="P210"/>
  <c r="J210"/>
  <c r="X210" s="1"/>
  <c r="X209"/>
  <c r="P209"/>
  <c r="J209"/>
  <c r="P208"/>
  <c r="J208"/>
  <c r="X208" s="1"/>
  <c r="X207"/>
  <c r="P207"/>
  <c r="J207"/>
  <c r="P206"/>
  <c r="J206"/>
  <c r="X206" s="1"/>
  <c r="X205"/>
  <c r="P205"/>
  <c r="J205"/>
  <c r="P204"/>
  <c r="J204"/>
  <c r="X204" s="1"/>
  <c r="X203"/>
  <c r="P203"/>
  <c r="J203"/>
  <c r="P202"/>
  <c r="J202"/>
  <c r="X202" s="1"/>
  <c r="X201"/>
  <c r="P201"/>
  <c r="J201"/>
  <c r="P200"/>
  <c r="J200"/>
  <c r="X200" s="1"/>
  <c r="X199"/>
  <c r="P199"/>
  <c r="J199"/>
  <c r="P198"/>
  <c r="J198"/>
  <c r="X198" s="1"/>
  <c r="X197"/>
  <c r="P197"/>
  <c r="J197"/>
  <c r="P196"/>
  <c r="J196"/>
  <c r="X196" s="1"/>
  <c r="X195"/>
  <c r="P195"/>
  <c r="J195"/>
  <c r="P194"/>
  <c r="J194"/>
  <c r="X194" s="1"/>
  <c r="X193"/>
  <c r="P193"/>
  <c r="J193"/>
  <c r="P192"/>
  <c r="J192"/>
  <c r="X192" s="1"/>
  <c r="X191"/>
  <c r="P191"/>
  <c r="J191"/>
  <c r="P190"/>
  <c r="X190" s="1"/>
  <c r="J190"/>
  <c r="P189"/>
  <c r="J189"/>
  <c r="X189" s="1"/>
  <c r="P188"/>
  <c r="X188" s="1"/>
  <c r="J188"/>
  <c r="P187"/>
  <c r="J187"/>
  <c r="X187" s="1"/>
  <c r="P186"/>
  <c r="X186" s="1"/>
  <c r="J186"/>
  <c r="P185"/>
  <c r="J185"/>
  <c r="X185" s="1"/>
  <c r="P184"/>
  <c r="X184" s="1"/>
  <c r="J184"/>
  <c r="P183"/>
  <c r="J183"/>
  <c r="X183" s="1"/>
  <c r="P182"/>
  <c r="X182" s="1"/>
  <c r="J182"/>
  <c r="P181"/>
  <c r="J181"/>
  <c r="X181" s="1"/>
  <c r="P180"/>
  <c r="X180" s="1"/>
  <c r="J180"/>
  <c r="P179"/>
  <c r="J179"/>
  <c r="X179" s="1"/>
  <c r="P178"/>
  <c r="X178" s="1"/>
  <c r="J178"/>
  <c r="P177"/>
  <c r="X177" s="1"/>
  <c r="P176"/>
  <c r="X176" s="1"/>
  <c r="X175"/>
  <c r="P175"/>
  <c r="J175"/>
  <c r="P174"/>
  <c r="J174"/>
  <c r="X174" s="1"/>
  <c r="X173"/>
  <c r="P173"/>
  <c r="J173"/>
  <c r="P172"/>
  <c r="J172"/>
  <c r="X172" s="1"/>
  <c r="X171"/>
  <c r="P171"/>
  <c r="J171"/>
  <c r="P170"/>
  <c r="J170"/>
  <c r="X170" s="1"/>
  <c r="X169"/>
  <c r="P169"/>
  <c r="J169"/>
  <c r="P168"/>
  <c r="J168"/>
  <c r="X168" s="1"/>
  <c r="X167"/>
  <c r="P167"/>
  <c r="J167"/>
  <c r="P166"/>
  <c r="J166"/>
  <c r="X166" s="1"/>
  <c r="X165"/>
  <c r="P165"/>
  <c r="J165"/>
  <c r="P164"/>
  <c r="J164"/>
  <c r="X164" s="1"/>
  <c r="X163"/>
  <c r="P163"/>
  <c r="J163"/>
  <c r="P162"/>
  <c r="J162"/>
  <c r="X162" s="1"/>
  <c r="X161"/>
  <c r="P161"/>
  <c r="J161"/>
  <c r="P160"/>
  <c r="J160"/>
  <c r="X160" s="1"/>
  <c r="X159"/>
  <c r="P159"/>
  <c r="J159"/>
  <c r="J216" s="1"/>
  <c r="W158"/>
  <c r="V158"/>
  <c r="U158"/>
  <c r="S158"/>
  <c r="R158"/>
  <c r="Q158"/>
  <c r="O158"/>
  <c r="N158"/>
  <c r="M158"/>
  <c r="L158"/>
  <c r="K158"/>
  <c r="I158"/>
  <c r="H158"/>
  <c r="G158"/>
  <c r="F158"/>
  <c r="T157"/>
  <c r="P157"/>
  <c r="J157"/>
  <c r="X157" s="1"/>
  <c r="P156"/>
  <c r="J156"/>
  <c r="X156" s="1"/>
  <c r="P155"/>
  <c r="X155" s="1"/>
  <c r="J155"/>
  <c r="P154"/>
  <c r="J154"/>
  <c r="X154" s="1"/>
  <c r="P153"/>
  <c r="X153" s="1"/>
  <c r="J153"/>
  <c r="P152"/>
  <c r="J152"/>
  <c r="X152" s="1"/>
  <c r="P151"/>
  <c r="X151" s="1"/>
  <c r="J151"/>
  <c r="P150"/>
  <c r="J150"/>
  <c r="X150" s="1"/>
  <c r="P149"/>
  <c r="X149" s="1"/>
  <c r="J149"/>
  <c r="P148"/>
  <c r="J148"/>
  <c r="X148" s="1"/>
  <c r="X147"/>
  <c r="P147"/>
  <c r="J147"/>
  <c r="P146"/>
  <c r="J146"/>
  <c r="X146" s="1"/>
  <c r="X145"/>
  <c r="P145"/>
  <c r="J145"/>
  <c r="P144"/>
  <c r="J144"/>
  <c r="X143"/>
  <c r="P143"/>
  <c r="J143"/>
  <c r="T142"/>
  <c r="T158" s="1"/>
  <c r="P142"/>
  <c r="J142"/>
  <c r="X142" s="1"/>
  <c r="P141"/>
  <c r="J141"/>
  <c r="X141" s="1"/>
  <c r="P140"/>
  <c r="X140" s="1"/>
  <c r="J140"/>
  <c r="P139"/>
  <c r="J139"/>
  <c r="X139" s="1"/>
  <c r="P138"/>
  <c r="X138" s="1"/>
  <c r="J138"/>
  <c r="P137"/>
  <c r="J137"/>
  <c r="X137" s="1"/>
  <c r="P136"/>
  <c r="J136"/>
  <c r="P135"/>
  <c r="J135"/>
  <c r="X135" s="1"/>
  <c r="W134"/>
  <c r="V134"/>
  <c r="U134"/>
  <c r="T134"/>
  <c r="S134"/>
  <c r="R134"/>
  <c r="Q134"/>
  <c r="O134"/>
  <c r="N134"/>
  <c r="M134"/>
  <c r="L134"/>
  <c r="K134"/>
  <c r="I134"/>
  <c r="H134"/>
  <c r="G134"/>
  <c r="F134"/>
  <c r="X133"/>
  <c r="P133"/>
  <c r="J133"/>
  <c r="P132"/>
  <c r="J132"/>
  <c r="X132" s="1"/>
  <c r="X131"/>
  <c r="P131"/>
  <c r="J131"/>
  <c r="P130"/>
  <c r="J130"/>
  <c r="X130" s="1"/>
  <c r="X129"/>
  <c r="P129"/>
  <c r="J129"/>
  <c r="P128"/>
  <c r="J128"/>
  <c r="X128" s="1"/>
  <c r="X127"/>
  <c r="P127"/>
  <c r="J127"/>
  <c r="P126"/>
  <c r="J126"/>
  <c r="X126" s="1"/>
  <c r="X125"/>
  <c r="P125"/>
  <c r="J125"/>
  <c r="P124"/>
  <c r="J124"/>
  <c r="X124" s="1"/>
  <c r="X123"/>
  <c r="P123"/>
  <c r="J123"/>
  <c r="P122"/>
  <c r="J122"/>
  <c r="X122" s="1"/>
  <c r="X121"/>
  <c r="P121"/>
  <c r="J121"/>
  <c r="P120"/>
  <c r="J120"/>
  <c r="X120" s="1"/>
  <c r="X119"/>
  <c r="P119"/>
  <c r="J119"/>
  <c r="P118"/>
  <c r="J118"/>
  <c r="X118" s="1"/>
  <c r="X117"/>
  <c r="P117"/>
  <c r="J117"/>
  <c r="P116"/>
  <c r="J116"/>
  <c r="X116" s="1"/>
  <c r="X115"/>
  <c r="P115"/>
  <c r="J115"/>
  <c r="P114"/>
  <c r="J114"/>
  <c r="X114" s="1"/>
  <c r="X113"/>
  <c r="P113"/>
  <c r="J113"/>
  <c r="P112"/>
  <c r="J112"/>
  <c r="X112" s="1"/>
  <c r="X111"/>
  <c r="P111"/>
  <c r="J111"/>
  <c r="P110"/>
  <c r="J110"/>
  <c r="X110" s="1"/>
  <c r="X109"/>
  <c r="P109"/>
  <c r="J109"/>
  <c r="P108"/>
  <c r="J108"/>
  <c r="X108" s="1"/>
  <c r="X107"/>
  <c r="P107"/>
  <c r="J107"/>
  <c r="P106"/>
  <c r="J106"/>
  <c r="X106" s="1"/>
  <c r="P105"/>
  <c r="J105"/>
  <c r="P104"/>
  <c r="J104"/>
  <c r="X104" s="1"/>
  <c r="X103"/>
  <c r="P103"/>
  <c r="J103"/>
  <c r="P102"/>
  <c r="J102"/>
  <c r="X102" s="1"/>
  <c r="X101"/>
  <c r="P101"/>
  <c r="J101"/>
  <c r="P100"/>
  <c r="J100"/>
  <c r="X100" s="1"/>
  <c r="X99"/>
  <c r="P99"/>
  <c r="J99"/>
  <c r="P98"/>
  <c r="J98"/>
  <c r="X98" s="1"/>
  <c r="X97"/>
  <c r="P97"/>
  <c r="J97"/>
  <c r="P96"/>
  <c r="J96"/>
  <c r="X96" s="1"/>
  <c r="X95"/>
  <c r="P95"/>
  <c r="J95"/>
  <c r="P94"/>
  <c r="P134" s="1"/>
  <c r="J94"/>
  <c r="W93"/>
  <c r="V93"/>
  <c r="U93"/>
  <c r="T93"/>
  <c r="S93"/>
  <c r="R93"/>
  <c r="Q93"/>
  <c r="O93"/>
  <c r="N93"/>
  <c r="M93"/>
  <c r="L93"/>
  <c r="K93"/>
  <c r="I93"/>
  <c r="H93"/>
  <c r="G93"/>
  <c r="F93"/>
  <c r="P92"/>
  <c r="J92"/>
  <c r="X92" s="1"/>
  <c r="P91"/>
  <c r="X91" s="1"/>
  <c r="J91"/>
  <c r="P90"/>
  <c r="J90"/>
  <c r="X90" s="1"/>
  <c r="P89"/>
  <c r="X89" s="1"/>
  <c r="J89"/>
  <c r="P88"/>
  <c r="J88"/>
  <c r="X88" s="1"/>
  <c r="P87"/>
  <c r="X87" s="1"/>
  <c r="J87"/>
  <c r="P86"/>
  <c r="J86"/>
  <c r="X86" s="1"/>
  <c r="P85"/>
  <c r="X85" s="1"/>
  <c r="J85"/>
  <c r="P84"/>
  <c r="J84"/>
  <c r="X84" s="1"/>
  <c r="P78"/>
  <c r="X78" s="1"/>
  <c r="J78"/>
  <c r="P77"/>
  <c r="J77"/>
  <c r="X77" s="1"/>
  <c r="P76"/>
  <c r="X76" s="1"/>
  <c r="J76"/>
  <c r="P75"/>
  <c r="J75"/>
  <c r="X75" s="1"/>
  <c r="X74"/>
  <c r="P74"/>
  <c r="J74"/>
  <c r="P73"/>
  <c r="J73"/>
  <c r="X73" s="1"/>
  <c r="X72"/>
  <c r="P72"/>
  <c r="J72"/>
  <c r="P71"/>
  <c r="J71"/>
  <c r="X71" s="1"/>
  <c r="P70"/>
  <c r="X70" s="1"/>
  <c r="J70"/>
  <c r="P69"/>
  <c r="J69"/>
  <c r="J93" s="1"/>
  <c r="W68"/>
  <c r="V68"/>
  <c r="U68"/>
  <c r="S68"/>
  <c r="R68"/>
  <c r="Q68"/>
  <c r="O68"/>
  <c r="N68"/>
  <c r="M68"/>
  <c r="L68"/>
  <c r="K68"/>
  <c r="I68"/>
  <c r="H68"/>
  <c r="G68"/>
  <c r="F68"/>
  <c r="X67"/>
  <c r="P67"/>
  <c r="J67"/>
  <c r="P66"/>
  <c r="J66"/>
  <c r="X66" s="1"/>
  <c r="X65"/>
  <c r="P65"/>
  <c r="J65"/>
  <c r="P64"/>
  <c r="J64"/>
  <c r="X64" s="1"/>
  <c r="X63"/>
  <c r="P63"/>
  <c r="J63"/>
  <c r="P62"/>
  <c r="J62"/>
  <c r="X62" s="1"/>
  <c r="X61"/>
  <c r="P61"/>
  <c r="J61"/>
  <c r="P60"/>
  <c r="J60"/>
  <c r="X60" s="1"/>
  <c r="X59"/>
  <c r="P59"/>
  <c r="J59"/>
  <c r="P58"/>
  <c r="J58"/>
  <c r="X58" s="1"/>
  <c r="X57"/>
  <c r="P57"/>
  <c r="J57"/>
  <c r="P56"/>
  <c r="J56"/>
  <c r="X56" s="1"/>
  <c r="X55"/>
  <c r="P55"/>
  <c r="J55"/>
  <c r="P54"/>
  <c r="J54"/>
  <c r="X54" s="1"/>
  <c r="X53"/>
  <c r="P53"/>
  <c r="J53"/>
  <c r="P52"/>
  <c r="J52"/>
  <c r="X52" s="1"/>
  <c r="X51"/>
  <c r="P51"/>
  <c r="J51"/>
  <c r="P50"/>
  <c r="J50"/>
  <c r="X50" s="1"/>
  <c r="X49"/>
  <c r="P49"/>
  <c r="J49"/>
  <c r="P48"/>
  <c r="J48"/>
  <c r="X48" s="1"/>
  <c r="X47"/>
  <c r="P47"/>
  <c r="J47"/>
  <c r="P46"/>
  <c r="J46"/>
  <c r="X46" s="1"/>
  <c r="X45"/>
  <c r="P45"/>
  <c r="J45"/>
  <c r="P44"/>
  <c r="J44"/>
  <c r="X44" s="1"/>
  <c r="X43"/>
  <c r="T43"/>
  <c r="P43"/>
  <c r="J43"/>
  <c r="P42"/>
  <c r="X42" s="1"/>
  <c r="J42"/>
  <c r="P41"/>
  <c r="J41"/>
  <c r="X41" s="1"/>
  <c r="T40"/>
  <c r="P40"/>
  <c r="J40"/>
  <c r="P39"/>
  <c r="J39"/>
  <c r="X39" s="1"/>
  <c r="X38"/>
  <c r="P38"/>
  <c r="J38"/>
  <c r="P37"/>
  <c r="J37"/>
  <c r="X37" s="1"/>
  <c r="X36"/>
  <c r="P36"/>
  <c r="J36"/>
  <c r="P35"/>
  <c r="J35"/>
  <c r="X35" s="1"/>
  <c r="X34"/>
  <c r="P34"/>
  <c r="J34"/>
  <c r="P33"/>
  <c r="J33"/>
  <c r="X33" s="1"/>
  <c r="X32"/>
  <c r="P32"/>
  <c r="J32"/>
  <c r="P31"/>
  <c r="J31"/>
  <c r="X31" s="1"/>
  <c r="X30"/>
  <c r="P30"/>
  <c r="J30"/>
  <c r="P29"/>
  <c r="J29"/>
  <c r="X29" s="1"/>
  <c r="X28"/>
  <c r="P28"/>
  <c r="J28"/>
  <c r="P27"/>
  <c r="J27"/>
  <c r="X27" s="1"/>
  <c r="X26"/>
  <c r="P26"/>
  <c r="J26"/>
  <c r="P25"/>
  <c r="J25"/>
  <c r="X25" s="1"/>
  <c r="X24"/>
  <c r="P24"/>
  <c r="J24"/>
  <c r="P23"/>
  <c r="J23"/>
  <c r="X23" s="1"/>
  <c r="X22"/>
  <c r="P22"/>
  <c r="J22"/>
  <c r="P21"/>
  <c r="J21"/>
  <c r="X21" s="1"/>
  <c r="X20"/>
  <c r="P20"/>
  <c r="J20"/>
  <c r="P19"/>
  <c r="J19"/>
  <c r="X19" s="1"/>
  <c r="X18"/>
  <c r="P18"/>
  <c r="J18"/>
  <c r="P17"/>
  <c r="J17"/>
  <c r="X17" s="1"/>
  <c r="X16"/>
  <c r="P16"/>
  <c r="J16"/>
  <c r="P15"/>
  <c r="J15"/>
  <c r="X15" s="1"/>
  <c r="X14"/>
  <c r="P14"/>
  <c r="J14"/>
  <c r="P13"/>
  <c r="J13"/>
  <c r="X13" s="1"/>
  <c r="X12"/>
  <c r="P12"/>
  <c r="J12"/>
  <c r="P11"/>
  <c r="J11"/>
  <c r="X11" s="1"/>
  <c r="X10"/>
  <c r="P10"/>
  <c r="J10"/>
  <c r="P9"/>
  <c r="J9"/>
  <c r="X9" s="1"/>
  <c r="X8"/>
  <c r="P8"/>
  <c r="J8"/>
  <c r="P7"/>
  <c r="J7"/>
  <c r="X7" s="1"/>
  <c r="X6"/>
  <c r="P6"/>
  <c r="P68" s="1"/>
  <c r="J6"/>
  <c r="W216" i="5"/>
  <c r="V216"/>
  <c r="U216"/>
  <c r="T216"/>
  <c r="S216"/>
  <c r="R216"/>
  <c r="Q216"/>
  <c r="O216"/>
  <c r="N216"/>
  <c r="M216"/>
  <c r="L216"/>
  <c r="K216"/>
  <c r="I216"/>
  <c r="H216"/>
  <c r="G216"/>
  <c r="F216"/>
  <c r="X215"/>
  <c r="P215"/>
  <c r="J215"/>
  <c r="P214"/>
  <c r="J214"/>
  <c r="X214" s="1"/>
  <c r="X213"/>
  <c r="P213"/>
  <c r="J213"/>
  <c r="P212"/>
  <c r="J212"/>
  <c r="X212" s="1"/>
  <c r="X211"/>
  <c r="P211"/>
  <c r="J211"/>
  <c r="P210"/>
  <c r="J210"/>
  <c r="X210" s="1"/>
  <c r="X209"/>
  <c r="P209"/>
  <c r="J209"/>
  <c r="P208"/>
  <c r="J208"/>
  <c r="X208" s="1"/>
  <c r="X207"/>
  <c r="P207"/>
  <c r="J207"/>
  <c r="P206"/>
  <c r="J206"/>
  <c r="X206" s="1"/>
  <c r="X205"/>
  <c r="P205"/>
  <c r="J205"/>
  <c r="P204"/>
  <c r="J204"/>
  <c r="X204" s="1"/>
  <c r="X203"/>
  <c r="P203"/>
  <c r="J203"/>
  <c r="P202"/>
  <c r="J202"/>
  <c r="X202" s="1"/>
  <c r="X201"/>
  <c r="P201"/>
  <c r="J201"/>
  <c r="P200"/>
  <c r="J200"/>
  <c r="X200" s="1"/>
  <c r="X199"/>
  <c r="P199"/>
  <c r="J199"/>
  <c r="P198"/>
  <c r="J198"/>
  <c r="X198" s="1"/>
  <c r="X197"/>
  <c r="P197"/>
  <c r="J197"/>
  <c r="P196"/>
  <c r="J196"/>
  <c r="X196" s="1"/>
  <c r="X195"/>
  <c r="P195"/>
  <c r="J195"/>
  <c r="P194"/>
  <c r="J194"/>
  <c r="X194" s="1"/>
  <c r="X193"/>
  <c r="P193"/>
  <c r="J193"/>
  <c r="P192"/>
  <c r="J192"/>
  <c r="X192" s="1"/>
  <c r="X191"/>
  <c r="P191"/>
  <c r="J191"/>
  <c r="P190"/>
  <c r="J190"/>
  <c r="X190" s="1"/>
  <c r="X189"/>
  <c r="P189"/>
  <c r="J189"/>
  <c r="P188"/>
  <c r="J188"/>
  <c r="X188" s="1"/>
  <c r="X187"/>
  <c r="P187"/>
  <c r="J187"/>
  <c r="P186"/>
  <c r="J186"/>
  <c r="X186" s="1"/>
  <c r="X185"/>
  <c r="P185"/>
  <c r="J185"/>
  <c r="P184"/>
  <c r="J184"/>
  <c r="X184" s="1"/>
  <c r="X183"/>
  <c r="P183"/>
  <c r="J183"/>
  <c r="P182"/>
  <c r="J182"/>
  <c r="X182" s="1"/>
  <c r="X181"/>
  <c r="P181"/>
  <c r="J181"/>
  <c r="P180"/>
  <c r="J180"/>
  <c r="X180" s="1"/>
  <c r="X179"/>
  <c r="P179"/>
  <c r="J179"/>
  <c r="P178"/>
  <c r="J178"/>
  <c r="X178" s="1"/>
  <c r="X177"/>
  <c r="P177"/>
  <c r="J177"/>
  <c r="P176"/>
  <c r="J176"/>
  <c r="X176" s="1"/>
  <c r="X175"/>
  <c r="P175"/>
  <c r="J175"/>
  <c r="P174"/>
  <c r="J174"/>
  <c r="X174" s="1"/>
  <c r="X173"/>
  <c r="P173"/>
  <c r="J173"/>
  <c r="P172"/>
  <c r="J172"/>
  <c r="X172" s="1"/>
  <c r="X171"/>
  <c r="P171"/>
  <c r="J171"/>
  <c r="P170"/>
  <c r="J170"/>
  <c r="X170" s="1"/>
  <c r="X169"/>
  <c r="P169"/>
  <c r="J169"/>
  <c r="P168"/>
  <c r="J168"/>
  <c r="X168" s="1"/>
  <c r="X167"/>
  <c r="P167"/>
  <c r="J167"/>
  <c r="P166"/>
  <c r="J166"/>
  <c r="X166" s="1"/>
  <c r="X165"/>
  <c r="P165"/>
  <c r="J165"/>
  <c r="P164"/>
  <c r="J164"/>
  <c r="X164" s="1"/>
  <c r="X163"/>
  <c r="P163"/>
  <c r="J163"/>
  <c r="P162"/>
  <c r="J162"/>
  <c r="X162" s="1"/>
  <c r="X161"/>
  <c r="P161"/>
  <c r="J161"/>
  <c r="P160"/>
  <c r="J160"/>
  <c r="X159"/>
  <c r="P159"/>
  <c r="P216" s="1"/>
  <c r="J159"/>
  <c r="W158"/>
  <c r="V158"/>
  <c r="U158"/>
  <c r="S158"/>
  <c r="R158"/>
  <c r="Q158"/>
  <c r="O158"/>
  <c r="N158"/>
  <c r="M158"/>
  <c r="L158"/>
  <c r="K158"/>
  <c r="I158"/>
  <c r="H158"/>
  <c r="G158"/>
  <c r="F158"/>
  <c r="T157"/>
  <c r="P157"/>
  <c r="J157"/>
  <c r="P156"/>
  <c r="J156"/>
  <c r="X156" s="1"/>
  <c r="X155"/>
  <c r="P155"/>
  <c r="J155"/>
  <c r="T154"/>
  <c r="P154"/>
  <c r="J154"/>
  <c r="X154" s="1"/>
  <c r="X153"/>
  <c r="P153"/>
  <c r="J153"/>
  <c r="P152"/>
  <c r="J152"/>
  <c r="X152" s="1"/>
  <c r="X151"/>
  <c r="P151"/>
  <c r="J151"/>
  <c r="P150"/>
  <c r="J150"/>
  <c r="X150" s="1"/>
  <c r="X149"/>
  <c r="P149"/>
  <c r="J149"/>
  <c r="P148"/>
  <c r="J148"/>
  <c r="X147"/>
  <c r="T147"/>
  <c r="P147"/>
  <c r="J147"/>
  <c r="X146"/>
  <c r="P146"/>
  <c r="J146"/>
  <c r="P145"/>
  <c r="J145"/>
  <c r="X145" s="1"/>
  <c r="P144"/>
  <c r="X144" s="1"/>
  <c r="J144"/>
  <c r="P143"/>
  <c r="J143"/>
  <c r="X143" s="1"/>
  <c r="X142"/>
  <c r="T142"/>
  <c r="T158" s="1"/>
  <c r="P142"/>
  <c r="J142"/>
  <c r="P141"/>
  <c r="J141"/>
  <c r="X141" s="1"/>
  <c r="X140"/>
  <c r="P140"/>
  <c r="J140"/>
  <c r="P139"/>
  <c r="J139"/>
  <c r="X139" s="1"/>
  <c r="P138"/>
  <c r="X138" s="1"/>
  <c r="J138"/>
  <c r="P137"/>
  <c r="J137"/>
  <c r="X137" s="1"/>
  <c r="X136"/>
  <c r="P136"/>
  <c r="J136"/>
  <c r="P135"/>
  <c r="J135"/>
  <c r="X135" s="1"/>
  <c r="W134"/>
  <c r="V134"/>
  <c r="U134"/>
  <c r="T134"/>
  <c r="S134"/>
  <c r="R134"/>
  <c r="Q134"/>
  <c r="O134"/>
  <c r="N134"/>
  <c r="M134"/>
  <c r="L134"/>
  <c r="K134"/>
  <c r="I134"/>
  <c r="H134"/>
  <c r="G134"/>
  <c r="F134"/>
  <c r="X133"/>
  <c r="P133"/>
  <c r="J133"/>
  <c r="P132"/>
  <c r="J132"/>
  <c r="X132" s="1"/>
  <c r="X131"/>
  <c r="P131"/>
  <c r="J131"/>
  <c r="P130"/>
  <c r="J130"/>
  <c r="X129"/>
  <c r="P129"/>
  <c r="J129"/>
  <c r="P128"/>
  <c r="J128"/>
  <c r="X128" s="1"/>
  <c r="X127"/>
  <c r="P127"/>
  <c r="J127"/>
  <c r="P126"/>
  <c r="J126"/>
  <c r="X125"/>
  <c r="P125"/>
  <c r="J125"/>
  <c r="P124"/>
  <c r="J124"/>
  <c r="X124" s="1"/>
  <c r="X123"/>
  <c r="P123"/>
  <c r="J123"/>
  <c r="P122"/>
  <c r="J122"/>
  <c r="X121"/>
  <c r="P121"/>
  <c r="J121"/>
  <c r="P120"/>
  <c r="J120"/>
  <c r="X120" s="1"/>
  <c r="X119"/>
  <c r="P119"/>
  <c r="J119"/>
  <c r="P118"/>
  <c r="J118"/>
  <c r="X117"/>
  <c r="P117"/>
  <c r="J117"/>
  <c r="P116"/>
  <c r="J116"/>
  <c r="X116" s="1"/>
  <c r="X115"/>
  <c r="P115"/>
  <c r="J115"/>
  <c r="P114"/>
  <c r="J114"/>
  <c r="X113"/>
  <c r="P113"/>
  <c r="J113"/>
  <c r="P112"/>
  <c r="J112"/>
  <c r="X112" s="1"/>
  <c r="X111"/>
  <c r="P111"/>
  <c r="J111"/>
  <c r="P110"/>
  <c r="J110"/>
  <c r="X109"/>
  <c r="P109"/>
  <c r="J109"/>
  <c r="P108"/>
  <c r="J108"/>
  <c r="X108" s="1"/>
  <c r="X107"/>
  <c r="P107"/>
  <c r="J107"/>
  <c r="P106"/>
  <c r="J106"/>
  <c r="P105"/>
  <c r="J105"/>
  <c r="P104"/>
  <c r="J104"/>
  <c r="X104" s="1"/>
  <c r="X103"/>
  <c r="P103"/>
  <c r="J103"/>
  <c r="P102"/>
  <c r="J102"/>
  <c r="X101"/>
  <c r="P101"/>
  <c r="J101"/>
  <c r="X100"/>
  <c r="P100"/>
  <c r="J100"/>
  <c r="P99"/>
  <c r="J99"/>
  <c r="X99" s="1"/>
  <c r="P98"/>
  <c r="X98" s="1"/>
  <c r="J98"/>
  <c r="P97"/>
  <c r="J97"/>
  <c r="X97" s="1"/>
  <c r="P96"/>
  <c r="J96"/>
  <c r="X96" s="1"/>
  <c r="P95"/>
  <c r="J95"/>
  <c r="X95" s="1"/>
  <c r="P94"/>
  <c r="J94"/>
  <c r="X94" s="1"/>
  <c r="W93"/>
  <c r="V93"/>
  <c r="U93"/>
  <c r="S93"/>
  <c r="R93"/>
  <c r="Q93"/>
  <c r="O93"/>
  <c r="N93"/>
  <c r="M93"/>
  <c r="L93"/>
  <c r="K93"/>
  <c r="K217" s="1"/>
  <c r="I93"/>
  <c r="H93"/>
  <c r="G93"/>
  <c r="P92"/>
  <c r="J92"/>
  <c r="X92" s="1"/>
  <c r="P91"/>
  <c r="X91" s="1"/>
  <c r="J91"/>
  <c r="P90"/>
  <c r="J90"/>
  <c r="X90" s="1"/>
  <c r="X89"/>
  <c r="P89"/>
  <c r="J89"/>
  <c r="P88"/>
  <c r="J88"/>
  <c r="X88" s="1"/>
  <c r="P87"/>
  <c r="X87" s="1"/>
  <c r="J87"/>
  <c r="P86"/>
  <c r="J86"/>
  <c r="X86" s="1"/>
  <c r="X85"/>
  <c r="P85"/>
  <c r="J85"/>
  <c r="P84"/>
  <c r="J84"/>
  <c r="X84" s="1"/>
  <c r="F93"/>
  <c r="X78"/>
  <c r="P78"/>
  <c r="J78"/>
  <c r="P77"/>
  <c r="J77"/>
  <c r="X76"/>
  <c r="P76"/>
  <c r="J76"/>
  <c r="T93"/>
  <c r="P75"/>
  <c r="J75"/>
  <c r="P74"/>
  <c r="J74"/>
  <c r="X74" s="1"/>
  <c r="X73"/>
  <c r="P73"/>
  <c r="J73"/>
  <c r="P72"/>
  <c r="J72"/>
  <c r="X72" s="1"/>
  <c r="P71"/>
  <c r="J71"/>
  <c r="X71" s="1"/>
  <c r="P70"/>
  <c r="J70"/>
  <c r="X70" s="1"/>
  <c r="X69"/>
  <c r="P69"/>
  <c r="J69"/>
  <c r="W68"/>
  <c r="V68"/>
  <c r="U68"/>
  <c r="T68"/>
  <c r="S68"/>
  <c r="R68"/>
  <c r="Q68"/>
  <c r="O68"/>
  <c r="N68"/>
  <c r="M68"/>
  <c r="L68"/>
  <c r="K68"/>
  <c r="I68"/>
  <c r="H68"/>
  <c r="G68"/>
  <c r="F68"/>
  <c r="P67"/>
  <c r="J67"/>
  <c r="X67" s="1"/>
  <c r="P66"/>
  <c r="X66" s="1"/>
  <c r="J66"/>
  <c r="P65"/>
  <c r="J65"/>
  <c r="X65" s="1"/>
  <c r="X64"/>
  <c r="P64"/>
  <c r="J64"/>
  <c r="P63"/>
  <c r="J63"/>
  <c r="X63" s="1"/>
  <c r="P62"/>
  <c r="X62" s="1"/>
  <c r="J62"/>
  <c r="P61"/>
  <c r="J61"/>
  <c r="X61" s="1"/>
  <c r="X60"/>
  <c r="P60"/>
  <c r="J60"/>
  <c r="P59"/>
  <c r="J59"/>
  <c r="X59" s="1"/>
  <c r="P58"/>
  <c r="X58" s="1"/>
  <c r="J58"/>
  <c r="P57"/>
  <c r="J57"/>
  <c r="X57" s="1"/>
  <c r="X56"/>
  <c r="P56"/>
  <c r="J56"/>
  <c r="P55"/>
  <c r="J55"/>
  <c r="X55" s="1"/>
  <c r="P54"/>
  <c r="X54" s="1"/>
  <c r="J54"/>
  <c r="P53"/>
  <c r="J53"/>
  <c r="X53" s="1"/>
  <c r="X52"/>
  <c r="P52"/>
  <c r="J52"/>
  <c r="P51"/>
  <c r="J51"/>
  <c r="X51" s="1"/>
  <c r="P50"/>
  <c r="X50" s="1"/>
  <c r="J50"/>
  <c r="P49"/>
  <c r="J49"/>
  <c r="X49" s="1"/>
  <c r="X48"/>
  <c r="P48"/>
  <c r="J48"/>
  <c r="P47"/>
  <c r="J47"/>
  <c r="X47" s="1"/>
  <c r="P46"/>
  <c r="X46" s="1"/>
  <c r="J46"/>
  <c r="P45"/>
  <c r="J45"/>
  <c r="X45" s="1"/>
  <c r="X44"/>
  <c r="P44"/>
  <c r="J44"/>
  <c r="T43"/>
  <c r="P43"/>
  <c r="J43"/>
  <c r="X42"/>
  <c r="P42"/>
  <c r="J42"/>
  <c r="P41"/>
  <c r="J41"/>
  <c r="X41" s="1"/>
  <c r="X40"/>
  <c r="T40"/>
  <c r="P40"/>
  <c r="J40"/>
  <c r="P39"/>
  <c r="J39"/>
  <c r="X39" s="1"/>
  <c r="P38"/>
  <c r="J38"/>
  <c r="X38" s="1"/>
  <c r="X37"/>
  <c r="P37"/>
  <c r="J37"/>
  <c r="P36"/>
  <c r="J36"/>
  <c r="X36" s="1"/>
  <c r="P35"/>
  <c r="X35" s="1"/>
  <c r="J35"/>
  <c r="P34"/>
  <c r="J34"/>
  <c r="X34" s="1"/>
  <c r="P33"/>
  <c r="J33"/>
  <c r="X33" s="1"/>
  <c r="P32"/>
  <c r="J32"/>
  <c r="X32" s="1"/>
  <c r="P31"/>
  <c r="J31"/>
  <c r="X31" s="1"/>
  <c r="P30"/>
  <c r="J30"/>
  <c r="X30" s="1"/>
  <c r="X29"/>
  <c r="P29"/>
  <c r="J29"/>
  <c r="P28"/>
  <c r="J28"/>
  <c r="X28" s="1"/>
  <c r="P27"/>
  <c r="J27"/>
  <c r="X27" s="1"/>
  <c r="P26"/>
  <c r="J26"/>
  <c r="X26" s="1"/>
  <c r="X25"/>
  <c r="P25"/>
  <c r="J25"/>
  <c r="P24"/>
  <c r="J24"/>
  <c r="X24" s="1"/>
  <c r="P23"/>
  <c r="X23" s="1"/>
  <c r="J23"/>
  <c r="P22"/>
  <c r="J22"/>
  <c r="X22" s="1"/>
  <c r="P21"/>
  <c r="J21"/>
  <c r="X21" s="1"/>
  <c r="P20"/>
  <c r="J20"/>
  <c r="X20" s="1"/>
  <c r="P19"/>
  <c r="J19"/>
  <c r="X19" s="1"/>
  <c r="P18"/>
  <c r="J18"/>
  <c r="X18" s="1"/>
  <c r="X17"/>
  <c r="P17"/>
  <c r="J17"/>
  <c r="P16"/>
  <c r="J16"/>
  <c r="X16" s="1"/>
  <c r="P15"/>
  <c r="J15"/>
  <c r="X15" s="1"/>
  <c r="P14"/>
  <c r="J14"/>
  <c r="X14" s="1"/>
  <c r="X13"/>
  <c r="P13"/>
  <c r="J13"/>
  <c r="P12"/>
  <c r="J12"/>
  <c r="X12" s="1"/>
  <c r="P11"/>
  <c r="X11" s="1"/>
  <c r="J11"/>
  <c r="P10"/>
  <c r="J10"/>
  <c r="X10" s="1"/>
  <c r="P9"/>
  <c r="J9"/>
  <c r="X9" s="1"/>
  <c r="P8"/>
  <c r="J8"/>
  <c r="X8" s="1"/>
  <c r="P7"/>
  <c r="J7"/>
  <c r="X7" s="1"/>
  <c r="P6"/>
  <c r="P68" s="1"/>
  <c r="J6"/>
  <c r="W216" i="4"/>
  <c r="V216"/>
  <c r="U216"/>
  <c r="T216"/>
  <c r="S216"/>
  <c r="R216"/>
  <c r="Q216"/>
  <c r="O216"/>
  <c r="N216"/>
  <c r="M216"/>
  <c r="L216"/>
  <c r="K216"/>
  <c r="I216"/>
  <c r="H216"/>
  <c r="G216"/>
  <c r="F216"/>
  <c r="P215"/>
  <c r="J215"/>
  <c r="X215" s="1"/>
  <c r="I215" i="19" s="1"/>
  <c r="P214" i="4"/>
  <c r="J214"/>
  <c r="X214" s="1"/>
  <c r="I214" i="19" s="1"/>
  <c r="U214" s="1"/>
  <c r="P213" i="4"/>
  <c r="J213"/>
  <c r="X212"/>
  <c r="I212" i="19" s="1"/>
  <c r="P212" i="4"/>
  <c r="P216" s="1"/>
  <c r="J212"/>
  <c r="J211"/>
  <c r="X211" s="1"/>
  <c r="I211" i="19" s="1"/>
  <c r="J210" i="4"/>
  <c r="X210" s="1"/>
  <c r="I210" i="19" s="1"/>
  <c r="X209" i="4"/>
  <c r="I209" i="19" s="1"/>
  <c r="J209" i="4"/>
  <c r="X208"/>
  <c r="I208" i="19" s="1"/>
  <c r="U208" s="1"/>
  <c r="J208" i="4"/>
  <c r="J207"/>
  <c r="X207" s="1"/>
  <c r="I207" i="19" s="1"/>
  <c r="J206" i="4"/>
  <c r="X206" s="1"/>
  <c r="I206" i="19" s="1"/>
  <c r="J205" i="4"/>
  <c r="X205" s="1"/>
  <c r="I205" i="19" s="1"/>
  <c r="J204" i="4"/>
  <c r="X204" s="1"/>
  <c r="I204" i="19" s="1"/>
  <c r="U204" s="1"/>
  <c r="J203" i="4"/>
  <c r="X203" s="1"/>
  <c r="I203" i="19" s="1"/>
  <c r="J202" i="4"/>
  <c r="X202" s="1"/>
  <c r="I202" i="19" s="1"/>
  <c r="U202" s="1"/>
  <c r="J201" i="4"/>
  <c r="X201" s="1"/>
  <c r="I201" i="19" s="1"/>
  <c r="X200" i="4"/>
  <c r="I200" i="19" s="1"/>
  <c r="J200" i="4"/>
  <c r="J199"/>
  <c r="X199" s="1"/>
  <c r="I199" i="19" s="1"/>
  <c r="J198" i="4"/>
  <c r="X198" s="1"/>
  <c r="I198" i="19" s="1"/>
  <c r="X197" i="4"/>
  <c r="I197" i="19" s="1"/>
  <c r="J197" i="4"/>
  <c r="J196"/>
  <c r="X196" s="1"/>
  <c r="I196" i="19" s="1"/>
  <c r="U196" s="1"/>
  <c r="J195" i="4"/>
  <c r="X195" s="1"/>
  <c r="I195" i="19" s="1"/>
  <c r="X194" i="4"/>
  <c r="I194" i="19" s="1"/>
  <c r="J194" i="4"/>
  <c r="J193"/>
  <c r="X193" s="1"/>
  <c r="I193" i="19" s="1"/>
  <c r="J192" i="4"/>
  <c r="X192" s="1"/>
  <c r="I192" i="19" s="1"/>
  <c r="U192" s="1"/>
  <c r="X191" i="4"/>
  <c r="I191" i="19" s="1"/>
  <c r="J191" i="4"/>
  <c r="X190"/>
  <c r="I190" i="19" s="1"/>
  <c r="J190" i="4"/>
  <c r="X189"/>
  <c r="I189" i="19" s="1"/>
  <c r="J189" i="4"/>
  <c r="J188"/>
  <c r="X188" s="1"/>
  <c r="I188" i="19" s="1"/>
  <c r="J187" i="4"/>
  <c r="X187" s="1"/>
  <c r="I187" i="19" s="1"/>
  <c r="J186" i="4"/>
  <c r="X186" s="1"/>
  <c r="I186" i="19" s="1"/>
  <c r="U186" s="1"/>
  <c r="J185" i="4"/>
  <c r="X185" s="1"/>
  <c r="I185" i="19" s="1"/>
  <c r="X184" i="4"/>
  <c r="I184" i="19" s="1"/>
  <c r="U184" s="1"/>
  <c r="J184" i="4"/>
  <c r="X183"/>
  <c r="I183" i="19" s="1"/>
  <c r="J183" i="4"/>
  <c r="J182"/>
  <c r="X182" s="1"/>
  <c r="I182" i="19" s="1"/>
  <c r="J181" i="4"/>
  <c r="X181" s="1"/>
  <c r="I181" i="19" s="1"/>
  <c r="J180" i="4"/>
  <c r="X180" s="1"/>
  <c r="I180" i="19" s="1"/>
  <c r="J179" i="4"/>
  <c r="X179" s="1"/>
  <c r="I179" i="19" s="1"/>
  <c r="X178" i="4"/>
  <c r="I178" i="19" s="1"/>
  <c r="U178" s="1"/>
  <c r="J178" i="4"/>
  <c r="X177"/>
  <c r="I177" i="19" s="1"/>
  <c r="J177" i="4"/>
  <c r="J176"/>
  <c r="X176" s="1"/>
  <c r="I176" i="19" s="1"/>
  <c r="J175" i="4"/>
  <c r="X175" s="1"/>
  <c r="I175" i="19" s="1"/>
  <c r="J174" i="4"/>
  <c r="X174" s="1"/>
  <c r="I174" i="19" s="1"/>
  <c r="J173" i="4"/>
  <c r="X173" s="1"/>
  <c r="I173" i="19" s="1"/>
  <c r="X172" i="4"/>
  <c r="I172" i="19" s="1"/>
  <c r="J172" i="4"/>
  <c r="X171"/>
  <c r="I171" i="19" s="1"/>
  <c r="J171" i="4"/>
  <c r="J170"/>
  <c r="X170" s="1"/>
  <c r="I170" i="19" s="1"/>
  <c r="J169" i="4"/>
  <c r="X169" s="1"/>
  <c r="I169" i="19" s="1"/>
  <c r="J168" i="4"/>
  <c r="X168" s="1"/>
  <c r="I168" i="19" s="1"/>
  <c r="J167" i="4"/>
  <c r="X167" s="1"/>
  <c r="I167" i="19" s="1"/>
  <c r="X166" i="4"/>
  <c r="I166" i="19" s="1"/>
  <c r="J166" i="4"/>
  <c r="X165"/>
  <c r="I165" i="19" s="1"/>
  <c r="J165" i="4"/>
  <c r="J164"/>
  <c r="X164" s="1"/>
  <c r="I164" i="19" s="1"/>
  <c r="J163" i="4"/>
  <c r="X163" s="1"/>
  <c r="I163" i="19" s="1"/>
  <c r="J162" i="4"/>
  <c r="X162" s="1"/>
  <c r="I162" i="19" s="1"/>
  <c r="J161" i="4"/>
  <c r="X161" s="1"/>
  <c r="I161" i="19" s="1"/>
  <c r="X160" i="4"/>
  <c r="I160" i="19" s="1"/>
  <c r="J160" i="4"/>
  <c r="J159"/>
  <c r="X159" s="1"/>
  <c r="I159" i="19" s="1"/>
  <c r="W158" i="4"/>
  <c r="V158"/>
  <c r="U158"/>
  <c r="S158"/>
  <c r="R158"/>
  <c r="Q158"/>
  <c r="P158"/>
  <c r="O158"/>
  <c r="N158"/>
  <c r="M158"/>
  <c r="L158"/>
  <c r="K158"/>
  <c r="I158"/>
  <c r="H158"/>
  <c r="G158"/>
  <c r="F158"/>
  <c r="T157"/>
  <c r="J157"/>
  <c r="X157" s="1"/>
  <c r="I157" i="19" s="1"/>
  <c r="J156" i="4"/>
  <c r="X156" s="1"/>
  <c r="I156" i="19" s="1"/>
  <c r="J155" i="4"/>
  <c r="X155" s="1"/>
  <c r="I155" i="19" s="1"/>
  <c r="X154" i="4"/>
  <c r="I154" i="19" s="1"/>
  <c r="J154" i="4"/>
  <c r="X153"/>
  <c r="I153" i="19" s="1"/>
  <c r="J153" i="4"/>
  <c r="J152"/>
  <c r="X152" s="1"/>
  <c r="I152" i="19" s="1"/>
  <c r="J151" i="4"/>
  <c r="X151" s="1"/>
  <c r="I151" i="19" s="1"/>
  <c r="J150" i="4"/>
  <c r="X150" s="1"/>
  <c r="I150" i="19" s="1"/>
  <c r="J149" i="4"/>
  <c r="X149" s="1"/>
  <c r="I149" i="19" s="1"/>
  <c r="X148" i="4"/>
  <c r="I148" i="19" s="1"/>
  <c r="U148" s="1"/>
  <c r="J148" i="4"/>
  <c r="T147"/>
  <c r="J147"/>
  <c r="X146"/>
  <c r="I146" i="19" s="1"/>
  <c r="U146" s="1"/>
  <c r="J146" i="4"/>
  <c r="X145"/>
  <c r="I145" i="19" s="1"/>
  <c r="J145" i="4"/>
  <c r="J144"/>
  <c r="X144" s="1"/>
  <c r="I144" i="19" s="1"/>
  <c r="J143" i="4"/>
  <c r="X143" s="1"/>
  <c r="I143" i="19" s="1"/>
  <c r="T142" i="4"/>
  <c r="T158" s="1"/>
  <c r="J142"/>
  <c r="X141"/>
  <c r="I141" i="19" s="1"/>
  <c r="U141" s="1"/>
  <c r="J141" i="4"/>
  <c r="X140"/>
  <c r="I140" i="19" s="1"/>
  <c r="J140" i="4"/>
  <c r="X139"/>
  <c r="I139" i="19" s="1"/>
  <c r="U139" s="1"/>
  <c r="J139" i="4"/>
  <c r="X138"/>
  <c r="I138" i="19" s="1"/>
  <c r="U138" s="1"/>
  <c r="J138" i="4"/>
  <c r="X137"/>
  <c r="I137" i="19" s="1"/>
  <c r="J137" i="4"/>
  <c r="X136"/>
  <c r="I136" i="19" s="1"/>
  <c r="J136" i="4"/>
  <c r="X135"/>
  <c r="I135" i="19" s="1"/>
  <c r="J135" i="4"/>
  <c r="W134"/>
  <c r="V134"/>
  <c r="U134"/>
  <c r="T134"/>
  <c r="S134"/>
  <c r="R134"/>
  <c r="P134"/>
  <c r="O134"/>
  <c r="N134"/>
  <c r="M134"/>
  <c r="L134"/>
  <c r="K134"/>
  <c r="I134"/>
  <c r="H134"/>
  <c r="G134"/>
  <c r="F134"/>
  <c r="J133"/>
  <c r="X133" s="1"/>
  <c r="I133" i="19" s="1"/>
  <c r="X132" i="4"/>
  <c r="I132" i="19" s="1"/>
  <c r="U132" s="1"/>
  <c r="X131" i="4"/>
  <c r="I131" i="19" s="1"/>
  <c r="J130" i="4"/>
  <c r="X130" s="1"/>
  <c r="I130" i="19" s="1"/>
  <c r="J129" i="4"/>
  <c r="X129" s="1"/>
  <c r="I129" i="19" s="1"/>
  <c r="U129" s="1"/>
  <c r="J128" i="4"/>
  <c r="X128" s="1"/>
  <c r="I128" i="19" s="1"/>
  <c r="X127" i="4"/>
  <c r="I127" i="19" s="1"/>
  <c r="J127" i="4"/>
  <c r="X126"/>
  <c r="I126" i="19" s="1"/>
  <c r="J126" i="4"/>
  <c r="J125"/>
  <c r="X125" s="1"/>
  <c r="I125" i="19" s="1"/>
  <c r="J124" i="4"/>
  <c r="X124" s="1"/>
  <c r="I124" i="19" s="1"/>
  <c r="J123" i="4"/>
  <c r="X123" s="1"/>
  <c r="I123" i="19" s="1"/>
  <c r="J122" i="4"/>
  <c r="X122" s="1"/>
  <c r="I122" i="19" s="1"/>
  <c r="X121" i="4"/>
  <c r="I121" i="19" s="1"/>
  <c r="J121" i="4"/>
  <c r="X120"/>
  <c r="I120" i="19" s="1"/>
  <c r="J120" i="4"/>
  <c r="J119"/>
  <c r="X119" s="1"/>
  <c r="I119" i="19" s="1"/>
  <c r="J118" i="4"/>
  <c r="X118" s="1"/>
  <c r="I118" i="19" s="1"/>
  <c r="J117" i="4"/>
  <c r="X117" s="1"/>
  <c r="I117" i="19" s="1"/>
  <c r="J116" i="4"/>
  <c r="X116" s="1"/>
  <c r="I116" i="19" s="1"/>
  <c r="U116" s="1"/>
  <c r="X115" i="4"/>
  <c r="I115" i="19" s="1"/>
  <c r="J115" i="4"/>
  <c r="X114"/>
  <c r="I114" i="19" s="1"/>
  <c r="U114" s="1"/>
  <c r="J114" i="4"/>
  <c r="J113"/>
  <c r="X113" s="1"/>
  <c r="I113" i="19" s="1"/>
  <c r="J112" i="4"/>
  <c r="X112" s="1"/>
  <c r="I112" i="19" s="1"/>
  <c r="J111" i="4"/>
  <c r="X111" s="1"/>
  <c r="I111" i="19" s="1"/>
  <c r="J110" i="4"/>
  <c r="X110" s="1"/>
  <c r="I110" i="19" s="1"/>
  <c r="X109" i="4"/>
  <c r="I109" i="19" s="1"/>
  <c r="J109" i="4"/>
  <c r="X108"/>
  <c r="I108" i="19" s="1"/>
  <c r="U108" s="1"/>
  <c r="J108" i="4"/>
  <c r="J107"/>
  <c r="X107" s="1"/>
  <c r="I107" i="19" s="1"/>
  <c r="X106" i="4"/>
  <c r="I106" i="19" s="1"/>
  <c r="J105" i="4"/>
  <c r="X105" s="1"/>
  <c r="I105" i="19" s="1"/>
  <c r="J104" i="4"/>
  <c r="X104" s="1"/>
  <c r="I104" i="19" s="1"/>
  <c r="J103" i="4"/>
  <c r="X103" s="1"/>
  <c r="I103" i="19" s="1"/>
  <c r="J102" i="4"/>
  <c r="X102" s="1"/>
  <c r="I102" i="19" s="1"/>
  <c r="J101" i="4"/>
  <c r="X101" s="1"/>
  <c r="I101" i="19" s="1"/>
  <c r="J100" i="4"/>
  <c r="X100" s="1"/>
  <c r="I100" i="19" s="1"/>
  <c r="J99" i="4"/>
  <c r="X99" s="1"/>
  <c r="I99" i="19" s="1"/>
  <c r="J98" i="4"/>
  <c r="X98" s="1"/>
  <c r="I98" i="19" s="1"/>
  <c r="X97" i="4"/>
  <c r="I97" i="19" s="1"/>
  <c r="J97" i="4"/>
  <c r="X96"/>
  <c r="I96" i="19" s="1"/>
  <c r="J96" i="4"/>
  <c r="J95"/>
  <c r="X95" s="1"/>
  <c r="I95" i="19" s="1"/>
  <c r="J94" i="4"/>
  <c r="X94" s="1"/>
  <c r="I94" i="19" s="1"/>
  <c r="W93" i="4"/>
  <c r="V93"/>
  <c r="U93"/>
  <c r="S93"/>
  <c r="R93"/>
  <c r="Q93"/>
  <c r="Q94" s="1"/>
  <c r="Q134" s="1"/>
  <c r="P93"/>
  <c r="O93"/>
  <c r="N93"/>
  <c r="M93"/>
  <c r="L93"/>
  <c r="K93"/>
  <c r="I93"/>
  <c r="H93"/>
  <c r="G93"/>
  <c r="F93"/>
  <c r="J92"/>
  <c r="X92" s="1"/>
  <c r="I92" i="19" s="1"/>
  <c r="J91" i="4"/>
  <c r="X91" s="1"/>
  <c r="I91" i="19" s="1"/>
  <c r="J90" i="4"/>
  <c r="X90" s="1"/>
  <c r="I90" i="19" s="1"/>
  <c r="P89" i="4"/>
  <c r="J89"/>
  <c r="J88"/>
  <c r="X88" s="1"/>
  <c r="I88" i="19" s="1"/>
  <c r="J87" i="4"/>
  <c r="X87" s="1"/>
  <c r="I87" i="19" s="1"/>
  <c r="J86" i="4"/>
  <c r="X86" s="1"/>
  <c r="I86" i="19" s="1"/>
  <c r="J85" i="4"/>
  <c r="X85" s="1"/>
  <c r="I85" i="19" s="1"/>
  <c r="J78" i="4"/>
  <c r="X78" s="1"/>
  <c r="I78" i="19" s="1"/>
  <c r="J77" i="4"/>
  <c r="X77" s="1"/>
  <c r="I77" i="19" s="1"/>
  <c r="J76" i="4"/>
  <c r="X76" s="1"/>
  <c r="I76" i="19" s="1"/>
  <c r="T75" i="4"/>
  <c r="T93" s="1"/>
  <c r="J75"/>
  <c r="X74"/>
  <c r="I74" i="19" s="1"/>
  <c r="J74" i="4"/>
  <c r="X73"/>
  <c r="I73" i="19" s="1"/>
  <c r="J73" i="4"/>
  <c r="X72"/>
  <c r="I72" i="19" s="1"/>
  <c r="J72" i="4"/>
  <c r="X71"/>
  <c r="I71" i="19" s="1"/>
  <c r="J71" i="4"/>
  <c r="X70"/>
  <c r="I70" i="19" s="1"/>
  <c r="P70" i="4"/>
  <c r="J70"/>
  <c r="J69"/>
  <c r="X69" s="1"/>
  <c r="I69" i="19" s="1"/>
  <c r="W68" i="4"/>
  <c r="V68"/>
  <c r="U68"/>
  <c r="S68"/>
  <c r="R68"/>
  <c r="Q68"/>
  <c r="O68"/>
  <c r="N68"/>
  <c r="M68"/>
  <c r="L68"/>
  <c r="K68"/>
  <c r="I68"/>
  <c r="H68"/>
  <c r="G68"/>
  <c r="F68"/>
  <c r="J67"/>
  <c r="X67" s="1"/>
  <c r="I67" i="19" s="1"/>
  <c r="J66" i="4"/>
  <c r="X66" s="1"/>
  <c r="I66" i="19" s="1"/>
  <c r="J65" i="4"/>
  <c r="X65" s="1"/>
  <c r="I65" i="19" s="1"/>
  <c r="J64" i="4"/>
  <c r="X64" s="1"/>
  <c r="I64" i="19" s="1"/>
  <c r="J63" i="4"/>
  <c r="X63" s="1"/>
  <c r="I63" i="19" s="1"/>
  <c r="J62" i="4"/>
  <c r="X62" s="1"/>
  <c r="I62" i="19" s="1"/>
  <c r="J61" i="4"/>
  <c r="X61" s="1"/>
  <c r="I61" i="19" s="1"/>
  <c r="J60" i="4"/>
  <c r="X60" s="1"/>
  <c r="I60" i="19" s="1"/>
  <c r="J59" i="4"/>
  <c r="X59" s="1"/>
  <c r="I59" i="19" s="1"/>
  <c r="J58" i="4"/>
  <c r="X58" s="1"/>
  <c r="I58" i="19" s="1"/>
  <c r="J57" i="4"/>
  <c r="X57" s="1"/>
  <c r="I57" i="19" s="1"/>
  <c r="J56" i="4"/>
  <c r="X56" s="1"/>
  <c r="I56" i="19" s="1"/>
  <c r="J55" i="4"/>
  <c r="X55" s="1"/>
  <c r="I55" i="19" s="1"/>
  <c r="J54" i="4"/>
  <c r="X54" s="1"/>
  <c r="I54" i="19" s="1"/>
  <c r="J53" i="4"/>
  <c r="X53" s="1"/>
  <c r="I53" i="19" s="1"/>
  <c r="J52" i="4"/>
  <c r="X52" s="1"/>
  <c r="I52" i="19" s="1"/>
  <c r="J51" i="4"/>
  <c r="X51" s="1"/>
  <c r="I51" i="19" s="1"/>
  <c r="J50" i="4"/>
  <c r="X50" s="1"/>
  <c r="I50" i="19" s="1"/>
  <c r="J49" i="4"/>
  <c r="X49" s="1"/>
  <c r="I49" i="19" s="1"/>
  <c r="J48" i="4"/>
  <c r="X48" s="1"/>
  <c r="I48" i="19" s="1"/>
  <c r="J47" i="4"/>
  <c r="X47" s="1"/>
  <c r="I47" i="19" s="1"/>
  <c r="J46" i="4"/>
  <c r="X46" s="1"/>
  <c r="I46" i="19" s="1"/>
  <c r="J45" i="4"/>
  <c r="X45" s="1"/>
  <c r="I45" i="19" s="1"/>
  <c r="J44" i="4"/>
  <c r="X44" s="1"/>
  <c r="I44" i="19" s="1"/>
  <c r="T43" i="4"/>
  <c r="J43"/>
  <c r="X43" s="1"/>
  <c r="I43" i="19" s="1"/>
  <c r="J42" i="4"/>
  <c r="X42" s="1"/>
  <c r="I42" i="19" s="1"/>
  <c r="U42" s="1"/>
  <c r="J41" i="4"/>
  <c r="X41" s="1"/>
  <c r="I41" i="19" s="1"/>
  <c r="T40" i="4"/>
  <c r="J40"/>
  <c r="X39"/>
  <c r="I39" i="19" s="1"/>
  <c r="J39" i="4"/>
  <c r="X38"/>
  <c r="I38" i="19" s="1"/>
  <c r="J38" i="4"/>
  <c r="X37"/>
  <c r="I37" i="19" s="1"/>
  <c r="J37" i="4"/>
  <c r="X36"/>
  <c r="I36" i="19" s="1"/>
  <c r="J36" i="4"/>
  <c r="X35"/>
  <c r="I35" i="19" s="1"/>
  <c r="J35" i="4"/>
  <c r="X34"/>
  <c r="I34" i="19" s="1"/>
  <c r="J34" i="4"/>
  <c r="P33"/>
  <c r="J33"/>
  <c r="J32"/>
  <c r="X32" s="1"/>
  <c r="I32" i="19" s="1"/>
  <c r="J31" i="4"/>
  <c r="X31" s="1"/>
  <c r="I31" i="19" s="1"/>
  <c r="J30" i="4"/>
  <c r="X30" s="1"/>
  <c r="I30" i="19" s="1"/>
  <c r="J29" i="4"/>
  <c r="X29" s="1"/>
  <c r="I29" i="19" s="1"/>
  <c r="J28" i="4"/>
  <c r="X28" s="1"/>
  <c r="I28" i="19" s="1"/>
  <c r="T27" i="4"/>
  <c r="T27" i="16" s="1"/>
  <c r="J27" i="4"/>
  <c r="T26"/>
  <c r="T26" i="16" s="1"/>
  <c r="J26" i="4"/>
  <c r="X26" s="1"/>
  <c r="I26" i="19" s="1"/>
  <c r="J25" i="4"/>
  <c r="X25" s="1"/>
  <c r="I25" i="19" s="1"/>
  <c r="U25" s="1"/>
  <c r="J24" i="4"/>
  <c r="X24" s="1"/>
  <c r="I24" i="19" s="1"/>
  <c r="J23" i="4"/>
  <c r="X23" s="1"/>
  <c r="I23" i="19" s="1"/>
  <c r="J22" i="4"/>
  <c r="X22" s="1"/>
  <c r="I22" i="19" s="1"/>
  <c r="J21" i="4"/>
  <c r="X21" s="1"/>
  <c r="I21" i="19" s="1"/>
  <c r="J20" i="4"/>
  <c r="X20" s="1"/>
  <c r="I20" i="19" s="1"/>
  <c r="J19" i="4"/>
  <c r="X19" s="1"/>
  <c r="I19" i="19" s="1"/>
  <c r="U19" s="1"/>
  <c r="J18" i="4"/>
  <c r="X18" s="1"/>
  <c r="I18" i="19" s="1"/>
  <c r="J17" i="4"/>
  <c r="X17" s="1"/>
  <c r="I17" i="19" s="1"/>
  <c r="X16" i="4"/>
  <c r="I16" i="19" s="1"/>
  <c r="J15" i="4"/>
  <c r="X15" s="1"/>
  <c r="I15" i="19" s="1"/>
  <c r="J14" i="4"/>
  <c r="X14" s="1"/>
  <c r="I14" i="19" s="1"/>
  <c r="X13" i="4"/>
  <c r="I13" i="19" s="1"/>
  <c r="U13" s="1"/>
  <c r="J13" i="4"/>
  <c r="J12"/>
  <c r="X12" s="1"/>
  <c r="I12" i="19" s="1"/>
  <c r="J11" i="4"/>
  <c r="X11" s="1"/>
  <c r="I11" i="19" s="1"/>
  <c r="X10" i="4"/>
  <c r="I10" i="19" s="1"/>
  <c r="J10" i="4"/>
  <c r="P9"/>
  <c r="P68" s="1"/>
  <c r="J9"/>
  <c r="X8"/>
  <c r="I8" i="19" s="1"/>
  <c r="J8" i="4"/>
  <c r="J7"/>
  <c r="X7" s="1"/>
  <c r="I7" i="19" s="1"/>
  <c r="J6" i="4"/>
  <c r="W216" i="3"/>
  <c r="V216"/>
  <c r="U216"/>
  <c r="S216"/>
  <c r="R216"/>
  <c r="Q216"/>
  <c r="O216"/>
  <c r="N216"/>
  <c r="M216"/>
  <c r="L216"/>
  <c r="K216"/>
  <c r="I216"/>
  <c r="H216"/>
  <c r="G216"/>
  <c r="F216"/>
  <c r="P215"/>
  <c r="J215"/>
  <c r="X215" s="1"/>
  <c r="P214"/>
  <c r="J214"/>
  <c r="X214" s="1"/>
  <c r="P213"/>
  <c r="J213"/>
  <c r="X213" s="1"/>
  <c r="P212"/>
  <c r="J212"/>
  <c r="X212" s="1"/>
  <c r="P211"/>
  <c r="J211"/>
  <c r="X211" s="1"/>
  <c r="P210"/>
  <c r="J210"/>
  <c r="X210" s="1"/>
  <c r="P209"/>
  <c r="J209"/>
  <c r="X209" s="1"/>
  <c r="P208"/>
  <c r="J208"/>
  <c r="X208" s="1"/>
  <c r="P207"/>
  <c r="J207"/>
  <c r="X207" s="1"/>
  <c r="P206"/>
  <c r="J206"/>
  <c r="X206" s="1"/>
  <c r="P205"/>
  <c r="J205"/>
  <c r="X205" s="1"/>
  <c r="P204"/>
  <c r="J204"/>
  <c r="X204" s="1"/>
  <c r="P203"/>
  <c r="J203"/>
  <c r="X203" s="1"/>
  <c r="P202"/>
  <c r="J202"/>
  <c r="X202" s="1"/>
  <c r="P201"/>
  <c r="J201"/>
  <c r="X201" s="1"/>
  <c r="P200"/>
  <c r="J200"/>
  <c r="X200" s="1"/>
  <c r="P199"/>
  <c r="J199"/>
  <c r="X199" s="1"/>
  <c r="P198"/>
  <c r="J198"/>
  <c r="X198" s="1"/>
  <c r="P197"/>
  <c r="J197"/>
  <c r="X197" s="1"/>
  <c r="T196" i="16"/>
  <c r="P196" i="3"/>
  <c r="J196"/>
  <c r="X196" s="1"/>
  <c r="P195"/>
  <c r="X195" s="1"/>
  <c r="J195"/>
  <c r="X194"/>
  <c r="P194"/>
  <c r="J194"/>
  <c r="X193"/>
  <c r="P193"/>
  <c r="J193"/>
  <c r="P192"/>
  <c r="J192"/>
  <c r="X192" s="1"/>
  <c r="X191"/>
  <c r="P191"/>
  <c r="J191"/>
  <c r="P190"/>
  <c r="J190"/>
  <c r="X190" s="1"/>
  <c r="P189"/>
  <c r="J189"/>
  <c r="X189" s="1"/>
  <c r="P188"/>
  <c r="J188"/>
  <c r="X188" s="1"/>
  <c r="P187"/>
  <c r="J187"/>
  <c r="X187" s="1"/>
  <c r="P186"/>
  <c r="J186"/>
  <c r="X186" s="1"/>
  <c r="P185"/>
  <c r="J185"/>
  <c r="X185" s="1"/>
  <c r="P184"/>
  <c r="J184"/>
  <c r="X184" s="1"/>
  <c r="P183"/>
  <c r="J183"/>
  <c r="X183" s="1"/>
  <c r="P182"/>
  <c r="J182"/>
  <c r="X182" s="1"/>
  <c r="P181"/>
  <c r="J181"/>
  <c r="X181" s="1"/>
  <c r="P180"/>
  <c r="J180"/>
  <c r="X180" s="1"/>
  <c r="P179"/>
  <c r="J179"/>
  <c r="X179" s="1"/>
  <c r="P178"/>
  <c r="J178"/>
  <c r="X178" s="1"/>
  <c r="P177"/>
  <c r="J177"/>
  <c r="X177" s="1"/>
  <c r="P176"/>
  <c r="J176"/>
  <c r="X176" s="1"/>
  <c r="P175"/>
  <c r="J175"/>
  <c r="X175" s="1"/>
  <c r="P174"/>
  <c r="J174"/>
  <c r="X174" s="1"/>
  <c r="P173"/>
  <c r="J173"/>
  <c r="X173" s="1"/>
  <c r="P172"/>
  <c r="J172"/>
  <c r="X172" s="1"/>
  <c r="P171"/>
  <c r="J171"/>
  <c r="X171" s="1"/>
  <c r="P170"/>
  <c r="J170"/>
  <c r="X170" s="1"/>
  <c r="P169"/>
  <c r="J169"/>
  <c r="X169" s="1"/>
  <c r="P168"/>
  <c r="J168"/>
  <c r="X168" s="1"/>
  <c r="P167"/>
  <c r="J167"/>
  <c r="X167" s="1"/>
  <c r="P166"/>
  <c r="J166"/>
  <c r="X166" s="1"/>
  <c r="P165"/>
  <c r="J165"/>
  <c r="X165" s="1"/>
  <c r="P164"/>
  <c r="J164"/>
  <c r="X164" s="1"/>
  <c r="P163"/>
  <c r="J163"/>
  <c r="X163" s="1"/>
  <c r="P162"/>
  <c r="J162"/>
  <c r="X162" s="1"/>
  <c r="P161"/>
  <c r="J161"/>
  <c r="X161" s="1"/>
  <c r="P160"/>
  <c r="J160"/>
  <c r="J216" s="1"/>
  <c r="P159"/>
  <c r="P216" s="1"/>
  <c r="J159"/>
  <c r="X159" s="1"/>
  <c r="W158"/>
  <c r="V158"/>
  <c r="U158"/>
  <c r="S158"/>
  <c r="R158"/>
  <c r="Q158"/>
  <c r="O158"/>
  <c r="N158"/>
  <c r="M158"/>
  <c r="L158"/>
  <c r="K158"/>
  <c r="I158"/>
  <c r="H158"/>
  <c r="G158"/>
  <c r="F158"/>
  <c r="T157"/>
  <c r="T158" s="1"/>
  <c r="P157"/>
  <c r="J157"/>
  <c r="X157" s="1"/>
  <c r="P156"/>
  <c r="J156"/>
  <c r="X156" s="1"/>
  <c r="X155"/>
  <c r="P155"/>
  <c r="J155"/>
  <c r="P154"/>
  <c r="J154"/>
  <c r="X154" s="1"/>
  <c r="X153"/>
  <c r="P153"/>
  <c r="J153"/>
  <c r="P152"/>
  <c r="J152"/>
  <c r="X152" s="1"/>
  <c r="X151"/>
  <c r="P151"/>
  <c r="J151"/>
  <c r="T150"/>
  <c r="T150" i="16" s="1"/>
  <c r="P150" i="3"/>
  <c r="J150"/>
  <c r="X150" s="1"/>
  <c r="P149"/>
  <c r="J149"/>
  <c r="X149" s="1"/>
  <c r="P148"/>
  <c r="X148" s="1"/>
  <c r="J148"/>
  <c r="T147"/>
  <c r="P147"/>
  <c r="X147" s="1"/>
  <c r="J147"/>
  <c r="X146"/>
  <c r="P146"/>
  <c r="J146"/>
  <c r="P145"/>
  <c r="J145"/>
  <c r="X145" s="1"/>
  <c r="X144"/>
  <c r="P144"/>
  <c r="J144"/>
  <c r="P143"/>
  <c r="J143"/>
  <c r="X143" s="1"/>
  <c r="X142"/>
  <c r="T142"/>
  <c r="P142"/>
  <c r="J142"/>
  <c r="P141"/>
  <c r="J141"/>
  <c r="X141" s="1"/>
  <c r="P140"/>
  <c r="J140"/>
  <c r="X140" s="1"/>
  <c r="P139"/>
  <c r="J139"/>
  <c r="X139" s="1"/>
  <c r="P138"/>
  <c r="J138"/>
  <c r="X138" s="1"/>
  <c r="P137"/>
  <c r="J137"/>
  <c r="X137" s="1"/>
  <c r="P136"/>
  <c r="J136"/>
  <c r="X136" s="1"/>
  <c r="P135"/>
  <c r="J135"/>
  <c r="X135" s="1"/>
  <c r="W134"/>
  <c r="V134"/>
  <c r="U134"/>
  <c r="T134"/>
  <c r="S134"/>
  <c r="R134"/>
  <c r="Q134"/>
  <c r="O134"/>
  <c r="N134"/>
  <c r="M134"/>
  <c r="K134"/>
  <c r="I134"/>
  <c r="H134"/>
  <c r="G134"/>
  <c r="F134"/>
  <c r="P133"/>
  <c r="J133"/>
  <c r="X133" s="1"/>
  <c r="P132"/>
  <c r="X132" s="1"/>
  <c r="J132"/>
  <c r="P131"/>
  <c r="J131"/>
  <c r="X131" s="1"/>
  <c r="P130"/>
  <c r="X130" s="1"/>
  <c r="J130"/>
  <c r="P129"/>
  <c r="J129"/>
  <c r="X129" s="1"/>
  <c r="P128"/>
  <c r="X128" s="1"/>
  <c r="J128"/>
  <c r="P127"/>
  <c r="J127"/>
  <c r="X127" s="1"/>
  <c r="P126"/>
  <c r="X126" s="1"/>
  <c r="J126"/>
  <c r="P125"/>
  <c r="J125"/>
  <c r="X125" s="1"/>
  <c r="P124"/>
  <c r="X124" s="1"/>
  <c r="J124"/>
  <c r="P123"/>
  <c r="J123"/>
  <c r="X123" s="1"/>
  <c r="P122"/>
  <c r="X122" s="1"/>
  <c r="J122"/>
  <c r="P121"/>
  <c r="J121"/>
  <c r="X121" s="1"/>
  <c r="P120"/>
  <c r="X120" s="1"/>
  <c r="J120"/>
  <c r="P119"/>
  <c r="J119"/>
  <c r="X119" s="1"/>
  <c r="P118"/>
  <c r="X118" s="1"/>
  <c r="J118"/>
  <c r="P117"/>
  <c r="J117"/>
  <c r="X117" s="1"/>
  <c r="P116"/>
  <c r="X116" s="1"/>
  <c r="J116"/>
  <c r="P115"/>
  <c r="J115"/>
  <c r="X115" s="1"/>
  <c r="P114"/>
  <c r="X114" s="1"/>
  <c r="J114"/>
  <c r="P113"/>
  <c r="J113"/>
  <c r="X113" s="1"/>
  <c r="P112"/>
  <c r="X112" s="1"/>
  <c r="J112"/>
  <c r="P111"/>
  <c r="J111"/>
  <c r="X111" s="1"/>
  <c r="P110"/>
  <c r="X110" s="1"/>
  <c r="J110"/>
  <c r="P109"/>
  <c r="J109"/>
  <c r="X109" s="1"/>
  <c r="P108"/>
  <c r="X108" s="1"/>
  <c r="J108"/>
  <c r="P107"/>
  <c r="J107"/>
  <c r="X107" s="1"/>
  <c r="P106"/>
  <c r="X106" s="1"/>
  <c r="J106"/>
  <c r="P105"/>
  <c r="J105"/>
  <c r="P104"/>
  <c r="X104" s="1"/>
  <c r="J104"/>
  <c r="P103"/>
  <c r="J103"/>
  <c r="X103" s="1"/>
  <c r="P102"/>
  <c r="X102" s="1"/>
  <c r="J102"/>
  <c r="P101"/>
  <c r="X101"/>
  <c r="J101"/>
  <c r="X100"/>
  <c r="P100"/>
  <c r="J100"/>
  <c r="P99"/>
  <c r="J99"/>
  <c r="X99" s="1"/>
  <c r="X98"/>
  <c r="P98"/>
  <c r="J98"/>
  <c r="P97"/>
  <c r="J97"/>
  <c r="X97" s="1"/>
  <c r="X96"/>
  <c r="P96"/>
  <c r="J96"/>
  <c r="P95"/>
  <c r="P134" s="1"/>
  <c r="J95"/>
  <c r="X95" s="1"/>
  <c r="X94"/>
  <c r="P94"/>
  <c r="J94"/>
  <c r="J134" s="1"/>
  <c r="W93"/>
  <c r="V93"/>
  <c r="U93"/>
  <c r="S93"/>
  <c r="R93"/>
  <c r="Q93"/>
  <c r="O93"/>
  <c r="N93"/>
  <c r="M93"/>
  <c r="L93"/>
  <c r="K93"/>
  <c r="I93"/>
  <c r="H93"/>
  <c r="G93"/>
  <c r="P92"/>
  <c r="J92"/>
  <c r="X92" s="1"/>
  <c r="P91"/>
  <c r="J91"/>
  <c r="X91" s="1"/>
  <c r="P90"/>
  <c r="J90"/>
  <c r="X90" s="1"/>
  <c r="P89"/>
  <c r="J89"/>
  <c r="X89" s="1"/>
  <c r="P88"/>
  <c r="J88"/>
  <c r="X88" s="1"/>
  <c r="P87"/>
  <c r="J87"/>
  <c r="X87" s="1"/>
  <c r="P86"/>
  <c r="J86"/>
  <c r="X86" s="1"/>
  <c r="P85"/>
  <c r="J85"/>
  <c r="X85" s="1"/>
  <c r="F93"/>
  <c r="P78"/>
  <c r="J78"/>
  <c r="X78" s="1"/>
  <c r="P77"/>
  <c r="X77" s="1"/>
  <c r="J77"/>
  <c r="P76"/>
  <c r="J76"/>
  <c r="X76" s="1"/>
  <c r="T93"/>
  <c r="P75"/>
  <c r="J75"/>
  <c r="X75" s="1"/>
  <c r="P74"/>
  <c r="J74"/>
  <c r="X74" s="1"/>
  <c r="X73"/>
  <c r="P73"/>
  <c r="J73"/>
  <c r="P72"/>
  <c r="J72"/>
  <c r="X72" s="1"/>
  <c r="X71"/>
  <c r="P71"/>
  <c r="J71"/>
  <c r="P70"/>
  <c r="P93" s="1"/>
  <c r="J70"/>
  <c r="X70" s="1"/>
  <c r="X69"/>
  <c r="P69"/>
  <c r="J69"/>
  <c r="J93" s="1"/>
  <c r="W68"/>
  <c r="V68"/>
  <c r="U68"/>
  <c r="S68"/>
  <c r="R68"/>
  <c r="Q68"/>
  <c r="Q217" s="1"/>
  <c r="O68"/>
  <c r="N68"/>
  <c r="M68"/>
  <c r="L68"/>
  <c r="K68"/>
  <c r="I68"/>
  <c r="H68"/>
  <c r="G68"/>
  <c r="F68"/>
  <c r="P67"/>
  <c r="J67"/>
  <c r="X67" s="1"/>
  <c r="P66"/>
  <c r="J66"/>
  <c r="X66" s="1"/>
  <c r="P65"/>
  <c r="J65"/>
  <c r="X65" s="1"/>
  <c r="P64"/>
  <c r="J64"/>
  <c r="X64" s="1"/>
  <c r="P63"/>
  <c r="J63"/>
  <c r="X63" s="1"/>
  <c r="P62"/>
  <c r="J62"/>
  <c r="X62" s="1"/>
  <c r="P61"/>
  <c r="J61"/>
  <c r="X61" s="1"/>
  <c r="P60"/>
  <c r="J60"/>
  <c r="X60" s="1"/>
  <c r="P59"/>
  <c r="J59"/>
  <c r="X59" s="1"/>
  <c r="P58"/>
  <c r="J58"/>
  <c r="X58" s="1"/>
  <c r="P57"/>
  <c r="J57"/>
  <c r="X57" s="1"/>
  <c r="P56"/>
  <c r="J56"/>
  <c r="X56" s="1"/>
  <c r="P55"/>
  <c r="J55"/>
  <c r="X55" s="1"/>
  <c r="P54"/>
  <c r="J54"/>
  <c r="X54" s="1"/>
  <c r="P53"/>
  <c r="J53"/>
  <c r="X53" s="1"/>
  <c r="P52"/>
  <c r="J52"/>
  <c r="X52" s="1"/>
  <c r="P51"/>
  <c r="J51"/>
  <c r="X51" s="1"/>
  <c r="P50"/>
  <c r="J50"/>
  <c r="X50" s="1"/>
  <c r="P49"/>
  <c r="J49"/>
  <c r="X49" s="1"/>
  <c r="P48"/>
  <c r="J48"/>
  <c r="X48" s="1"/>
  <c r="P47"/>
  <c r="J47"/>
  <c r="X47" s="1"/>
  <c r="P46"/>
  <c r="J46"/>
  <c r="X46" s="1"/>
  <c r="P45"/>
  <c r="J45"/>
  <c r="X45" s="1"/>
  <c r="P44"/>
  <c r="J44"/>
  <c r="X44" s="1"/>
  <c r="T43"/>
  <c r="P43"/>
  <c r="X43" s="1"/>
  <c r="J43"/>
  <c r="P42"/>
  <c r="J42"/>
  <c r="X42" s="1"/>
  <c r="P41"/>
  <c r="X41" s="1"/>
  <c r="J41"/>
  <c r="T40"/>
  <c r="T68" s="1"/>
  <c r="P40"/>
  <c r="X40" s="1"/>
  <c r="J40"/>
  <c r="X39"/>
  <c r="P39"/>
  <c r="J39"/>
  <c r="P38"/>
  <c r="J38"/>
  <c r="X38" s="1"/>
  <c r="X37"/>
  <c r="P37"/>
  <c r="J37"/>
  <c r="P36"/>
  <c r="J36"/>
  <c r="X36" s="1"/>
  <c r="X35"/>
  <c r="P35"/>
  <c r="J35"/>
  <c r="P34"/>
  <c r="J34"/>
  <c r="X34" s="1"/>
  <c r="X33"/>
  <c r="P33"/>
  <c r="J33"/>
  <c r="P32"/>
  <c r="J32"/>
  <c r="X32" s="1"/>
  <c r="X31"/>
  <c r="P31"/>
  <c r="J31"/>
  <c r="P30"/>
  <c r="J30"/>
  <c r="X30" s="1"/>
  <c r="X29"/>
  <c r="P29"/>
  <c r="J29"/>
  <c r="P28"/>
  <c r="J28"/>
  <c r="X28" s="1"/>
  <c r="X27"/>
  <c r="P27"/>
  <c r="J27"/>
  <c r="P26"/>
  <c r="J26"/>
  <c r="X26" s="1"/>
  <c r="X25"/>
  <c r="P25"/>
  <c r="J25"/>
  <c r="P24"/>
  <c r="J24"/>
  <c r="X24" s="1"/>
  <c r="X23"/>
  <c r="P23"/>
  <c r="J23"/>
  <c r="P22"/>
  <c r="J22"/>
  <c r="X22" s="1"/>
  <c r="X21"/>
  <c r="P21"/>
  <c r="J21"/>
  <c r="P20"/>
  <c r="J20"/>
  <c r="X20" s="1"/>
  <c r="X19"/>
  <c r="P19"/>
  <c r="J19"/>
  <c r="P18"/>
  <c r="J18"/>
  <c r="X18" s="1"/>
  <c r="X17"/>
  <c r="P17"/>
  <c r="J17"/>
  <c r="P16"/>
  <c r="J16"/>
  <c r="X16" s="1"/>
  <c r="X15"/>
  <c r="P15"/>
  <c r="J15"/>
  <c r="P14"/>
  <c r="J14"/>
  <c r="X14" s="1"/>
  <c r="X13"/>
  <c r="P13"/>
  <c r="J13"/>
  <c r="P12"/>
  <c r="J12"/>
  <c r="X12" s="1"/>
  <c r="X11"/>
  <c r="P11"/>
  <c r="J11"/>
  <c r="P10"/>
  <c r="J10"/>
  <c r="X10" s="1"/>
  <c r="X9"/>
  <c r="P9"/>
  <c r="J9"/>
  <c r="P8"/>
  <c r="J8"/>
  <c r="X8" s="1"/>
  <c r="X7"/>
  <c r="P7"/>
  <c r="J7"/>
  <c r="P6"/>
  <c r="P68" s="1"/>
  <c r="J6"/>
  <c r="J68" s="1"/>
  <c r="W216" i="2"/>
  <c r="V216"/>
  <c r="U216"/>
  <c r="S216"/>
  <c r="R216"/>
  <c r="Q216"/>
  <c r="O216"/>
  <c r="O217" s="1"/>
  <c r="N216"/>
  <c r="M216"/>
  <c r="L216"/>
  <c r="K216"/>
  <c r="I216"/>
  <c r="H216"/>
  <c r="G216"/>
  <c r="F216"/>
  <c r="P215"/>
  <c r="J215"/>
  <c r="X215" s="1"/>
  <c r="P214"/>
  <c r="X214" s="1"/>
  <c r="J214"/>
  <c r="P213"/>
  <c r="J213"/>
  <c r="X213" s="1"/>
  <c r="P212"/>
  <c r="X212" s="1"/>
  <c r="J212"/>
  <c r="P211"/>
  <c r="J211"/>
  <c r="X211" s="1"/>
  <c r="P210"/>
  <c r="X210" s="1"/>
  <c r="J210"/>
  <c r="P209"/>
  <c r="J209"/>
  <c r="X209" s="1"/>
  <c r="P208"/>
  <c r="X208" s="1"/>
  <c r="J208"/>
  <c r="P207"/>
  <c r="J207"/>
  <c r="X207" s="1"/>
  <c r="P206"/>
  <c r="X206" s="1"/>
  <c r="J206"/>
  <c r="P205"/>
  <c r="J205"/>
  <c r="X205" s="1"/>
  <c r="P204"/>
  <c r="X204" s="1"/>
  <c r="J204"/>
  <c r="P203"/>
  <c r="J203"/>
  <c r="X203" s="1"/>
  <c r="P202"/>
  <c r="X202" s="1"/>
  <c r="J202"/>
  <c r="P201"/>
  <c r="J201"/>
  <c r="X201" s="1"/>
  <c r="P200"/>
  <c r="X200" s="1"/>
  <c r="J200"/>
  <c r="P199"/>
  <c r="J199"/>
  <c r="X199" s="1"/>
  <c r="P198"/>
  <c r="X198" s="1"/>
  <c r="J198"/>
  <c r="P197"/>
  <c r="J197"/>
  <c r="X197" s="1"/>
  <c r="P196"/>
  <c r="X196" s="1"/>
  <c r="J196"/>
  <c r="P195"/>
  <c r="J195"/>
  <c r="X195" s="1"/>
  <c r="T194" i="16"/>
  <c r="P194" i="2"/>
  <c r="J194"/>
  <c r="X194" s="1"/>
  <c r="P193"/>
  <c r="J193"/>
  <c r="X193" s="1"/>
  <c r="X192"/>
  <c r="P192"/>
  <c r="J192"/>
  <c r="P191"/>
  <c r="J191"/>
  <c r="X191" s="1"/>
  <c r="X190"/>
  <c r="P190"/>
  <c r="J190"/>
  <c r="P189"/>
  <c r="J189"/>
  <c r="X189" s="1"/>
  <c r="X188"/>
  <c r="P188"/>
  <c r="J188"/>
  <c r="P187"/>
  <c r="J187"/>
  <c r="X187" s="1"/>
  <c r="X186"/>
  <c r="P186"/>
  <c r="J186"/>
  <c r="T216"/>
  <c r="P185"/>
  <c r="J185"/>
  <c r="X185" s="1"/>
  <c r="P184"/>
  <c r="J184"/>
  <c r="X184" s="1"/>
  <c r="P183"/>
  <c r="J183"/>
  <c r="X183" s="1"/>
  <c r="P182"/>
  <c r="J182"/>
  <c r="X182" s="1"/>
  <c r="P181"/>
  <c r="J181"/>
  <c r="X181" s="1"/>
  <c r="P180"/>
  <c r="J180"/>
  <c r="X180" s="1"/>
  <c r="P179"/>
  <c r="J179"/>
  <c r="X179" s="1"/>
  <c r="P178"/>
  <c r="J178"/>
  <c r="X178" s="1"/>
  <c r="P177"/>
  <c r="J177"/>
  <c r="X177" s="1"/>
  <c r="P176"/>
  <c r="J176"/>
  <c r="X176" s="1"/>
  <c r="P175"/>
  <c r="J175"/>
  <c r="X175" s="1"/>
  <c r="P174"/>
  <c r="J174"/>
  <c r="X174" s="1"/>
  <c r="P173"/>
  <c r="J173"/>
  <c r="X173" s="1"/>
  <c r="P172"/>
  <c r="J172"/>
  <c r="X172" s="1"/>
  <c r="P171"/>
  <c r="J171"/>
  <c r="X171" s="1"/>
  <c r="P170"/>
  <c r="J170"/>
  <c r="X170" s="1"/>
  <c r="P169"/>
  <c r="J169"/>
  <c r="X169" s="1"/>
  <c r="P168"/>
  <c r="J168"/>
  <c r="X168" s="1"/>
  <c r="Y167"/>
  <c r="P167"/>
  <c r="X167" s="1"/>
  <c r="J167"/>
  <c r="P166"/>
  <c r="J166"/>
  <c r="X166" s="1"/>
  <c r="P165"/>
  <c r="X165" s="1"/>
  <c r="J165"/>
  <c r="P164"/>
  <c r="J164"/>
  <c r="X164" s="1"/>
  <c r="P163"/>
  <c r="X163" s="1"/>
  <c r="J163"/>
  <c r="P162"/>
  <c r="J162"/>
  <c r="X162" s="1"/>
  <c r="P161"/>
  <c r="X161" s="1"/>
  <c r="J161"/>
  <c r="P160"/>
  <c r="J160"/>
  <c r="X160" s="1"/>
  <c r="P159"/>
  <c r="J159"/>
  <c r="J216" s="1"/>
  <c r="W158"/>
  <c r="V158"/>
  <c r="U158"/>
  <c r="T158"/>
  <c r="S158"/>
  <c r="R158"/>
  <c r="Q158"/>
  <c r="O158"/>
  <c r="N158"/>
  <c r="N217" s="1"/>
  <c r="M158"/>
  <c r="L158"/>
  <c r="K158"/>
  <c r="I158"/>
  <c r="H158"/>
  <c r="G158"/>
  <c r="F158"/>
  <c r="T157"/>
  <c r="P157"/>
  <c r="J157"/>
  <c r="X157" s="1"/>
  <c r="P156"/>
  <c r="J156"/>
  <c r="X156" s="1"/>
  <c r="P155"/>
  <c r="J155"/>
  <c r="X155" s="1"/>
  <c r="T154"/>
  <c r="P154"/>
  <c r="J154"/>
  <c r="X154" s="1"/>
  <c r="P153"/>
  <c r="X153" s="1"/>
  <c r="J153"/>
  <c r="P152"/>
  <c r="J152"/>
  <c r="X152" s="1"/>
  <c r="P151"/>
  <c r="X151" s="1"/>
  <c r="J151"/>
  <c r="P150"/>
  <c r="J150"/>
  <c r="X150" s="1"/>
  <c r="P149"/>
  <c r="X149" s="1"/>
  <c r="J149"/>
  <c r="P148"/>
  <c r="X148" s="1"/>
  <c r="J148"/>
  <c r="X147"/>
  <c r="P147"/>
  <c r="J147"/>
  <c r="P146"/>
  <c r="J146"/>
  <c r="X146" s="1"/>
  <c r="P145"/>
  <c r="J145"/>
  <c r="X145" s="1"/>
  <c r="P144"/>
  <c r="J144"/>
  <c r="X144" s="1"/>
  <c r="P143"/>
  <c r="J143"/>
  <c r="X143" s="1"/>
  <c r="T142"/>
  <c r="P142"/>
  <c r="X142" s="1"/>
  <c r="J142"/>
  <c r="P141"/>
  <c r="J141"/>
  <c r="X141" s="1"/>
  <c r="P140"/>
  <c r="X140" s="1"/>
  <c r="J140"/>
  <c r="P139"/>
  <c r="J139"/>
  <c r="X139" s="1"/>
  <c r="P138"/>
  <c r="X138" s="1"/>
  <c r="J138"/>
  <c r="P137"/>
  <c r="J137"/>
  <c r="X137" s="1"/>
  <c r="P136"/>
  <c r="X136" s="1"/>
  <c r="J136"/>
  <c r="P135"/>
  <c r="J135"/>
  <c r="J158" s="1"/>
  <c r="W134"/>
  <c r="V134"/>
  <c r="U134"/>
  <c r="T134"/>
  <c r="S134"/>
  <c r="R134"/>
  <c r="Q134"/>
  <c r="O134"/>
  <c r="N134"/>
  <c r="M134"/>
  <c r="K134"/>
  <c r="I134"/>
  <c r="H134"/>
  <c r="G134"/>
  <c r="F134"/>
  <c r="X133"/>
  <c r="P133"/>
  <c r="J133"/>
  <c r="P132"/>
  <c r="J132"/>
  <c r="X132" s="1"/>
  <c r="X131"/>
  <c r="P131"/>
  <c r="J131"/>
  <c r="P130"/>
  <c r="J130"/>
  <c r="X130" s="1"/>
  <c r="X129"/>
  <c r="P129"/>
  <c r="J129"/>
  <c r="P128"/>
  <c r="J128"/>
  <c r="X128" s="1"/>
  <c r="X127"/>
  <c r="P127"/>
  <c r="J127"/>
  <c r="P126"/>
  <c r="J126"/>
  <c r="X126" s="1"/>
  <c r="X125"/>
  <c r="P125"/>
  <c r="J125"/>
  <c r="P124"/>
  <c r="J124"/>
  <c r="X124" s="1"/>
  <c r="X123"/>
  <c r="P123"/>
  <c r="J123"/>
  <c r="P122"/>
  <c r="J122"/>
  <c r="X122" s="1"/>
  <c r="X121"/>
  <c r="P121"/>
  <c r="J121"/>
  <c r="P120"/>
  <c r="J120"/>
  <c r="X120" s="1"/>
  <c r="X119"/>
  <c r="P119"/>
  <c r="J119"/>
  <c r="P118"/>
  <c r="J118"/>
  <c r="X118" s="1"/>
  <c r="X117"/>
  <c r="P117"/>
  <c r="J117"/>
  <c r="P116"/>
  <c r="J116"/>
  <c r="X116" s="1"/>
  <c r="X115"/>
  <c r="P115"/>
  <c r="J115"/>
  <c r="P114"/>
  <c r="J114"/>
  <c r="X114" s="1"/>
  <c r="X113"/>
  <c r="P113"/>
  <c r="J113"/>
  <c r="P112"/>
  <c r="J112"/>
  <c r="X112" s="1"/>
  <c r="X111"/>
  <c r="P111"/>
  <c r="J111"/>
  <c r="P110"/>
  <c r="J110"/>
  <c r="X110" s="1"/>
  <c r="X109"/>
  <c r="P109"/>
  <c r="J109"/>
  <c r="P108"/>
  <c r="J108"/>
  <c r="X108" s="1"/>
  <c r="X107"/>
  <c r="P107"/>
  <c r="J107"/>
  <c r="P106"/>
  <c r="J106"/>
  <c r="X106" s="1"/>
  <c r="P105"/>
  <c r="J105"/>
  <c r="P104"/>
  <c r="J104"/>
  <c r="X104" s="1"/>
  <c r="X103"/>
  <c r="P103"/>
  <c r="J103"/>
  <c r="P102"/>
  <c r="J102"/>
  <c r="X102" s="1"/>
  <c r="X101"/>
  <c r="P101"/>
  <c r="L134"/>
  <c r="J101"/>
  <c r="P100"/>
  <c r="J100"/>
  <c r="X100" s="1"/>
  <c r="P99"/>
  <c r="J99"/>
  <c r="X99" s="1"/>
  <c r="P98"/>
  <c r="J98"/>
  <c r="X98" s="1"/>
  <c r="P97"/>
  <c r="J97"/>
  <c r="X97" s="1"/>
  <c r="P96"/>
  <c r="J96"/>
  <c r="X96" s="1"/>
  <c r="P95"/>
  <c r="J95"/>
  <c r="X95" s="1"/>
  <c r="P94"/>
  <c r="P134" s="1"/>
  <c r="J94"/>
  <c r="X94" s="1"/>
  <c r="W93"/>
  <c r="V93"/>
  <c r="U93"/>
  <c r="T93"/>
  <c r="S93"/>
  <c r="R93"/>
  <c r="Q93"/>
  <c r="O93"/>
  <c r="N93"/>
  <c r="M93"/>
  <c r="L93"/>
  <c r="K93"/>
  <c r="I93"/>
  <c r="H93"/>
  <c r="G93"/>
  <c r="P92"/>
  <c r="J92"/>
  <c r="X92" s="1"/>
  <c r="P91"/>
  <c r="X91" s="1"/>
  <c r="J91"/>
  <c r="P90"/>
  <c r="J90"/>
  <c r="X90" s="1"/>
  <c r="P89"/>
  <c r="X89" s="1"/>
  <c r="J89"/>
  <c r="P88"/>
  <c r="J88"/>
  <c r="X88" s="1"/>
  <c r="P87"/>
  <c r="X87" s="1"/>
  <c r="J87"/>
  <c r="P86"/>
  <c r="J86"/>
  <c r="X86" s="1"/>
  <c r="P85"/>
  <c r="X85" s="1"/>
  <c r="J85"/>
  <c r="J83" i="16"/>
  <c r="F82"/>
  <c r="P78" i="2"/>
  <c r="X78" s="1"/>
  <c r="J78"/>
  <c r="P77"/>
  <c r="J77"/>
  <c r="X77" s="1"/>
  <c r="P76"/>
  <c r="X76" s="1"/>
  <c r="J76"/>
  <c r="T75"/>
  <c r="P75"/>
  <c r="X75" s="1"/>
  <c r="J75"/>
  <c r="X74"/>
  <c r="P74"/>
  <c r="J74"/>
  <c r="P73"/>
  <c r="J73"/>
  <c r="X73" s="1"/>
  <c r="X72"/>
  <c r="P72"/>
  <c r="J72"/>
  <c r="P71"/>
  <c r="J71"/>
  <c r="X71" s="1"/>
  <c r="X70"/>
  <c r="J70"/>
  <c r="P69"/>
  <c r="P93" s="1"/>
  <c r="J69"/>
  <c r="J93" s="1"/>
  <c r="W68"/>
  <c r="V68"/>
  <c r="U68"/>
  <c r="S68"/>
  <c r="R68"/>
  <c r="R217" s="1"/>
  <c r="Q68"/>
  <c r="O68"/>
  <c r="N68"/>
  <c r="M68"/>
  <c r="L68"/>
  <c r="K68"/>
  <c r="I68"/>
  <c r="H68"/>
  <c r="G68"/>
  <c r="F68"/>
  <c r="P67"/>
  <c r="J67"/>
  <c r="X67" s="1"/>
  <c r="P66"/>
  <c r="J66"/>
  <c r="X66" s="1"/>
  <c r="P65"/>
  <c r="J65"/>
  <c r="X65" s="1"/>
  <c r="P64"/>
  <c r="J64"/>
  <c r="X64" s="1"/>
  <c r="P63"/>
  <c r="J63"/>
  <c r="X63" s="1"/>
  <c r="P62"/>
  <c r="J62"/>
  <c r="X62" s="1"/>
  <c r="P61"/>
  <c r="J61"/>
  <c r="X61" s="1"/>
  <c r="P60"/>
  <c r="J60"/>
  <c r="X60" s="1"/>
  <c r="P59"/>
  <c r="J59"/>
  <c r="X59" s="1"/>
  <c r="P58"/>
  <c r="J58"/>
  <c r="X58" s="1"/>
  <c r="P57"/>
  <c r="J57"/>
  <c r="X57" s="1"/>
  <c r="P56"/>
  <c r="J56"/>
  <c r="X56" s="1"/>
  <c r="P55"/>
  <c r="J55"/>
  <c r="X55" s="1"/>
  <c r="P54"/>
  <c r="J54"/>
  <c r="X54" s="1"/>
  <c r="P53"/>
  <c r="J53"/>
  <c r="X53" s="1"/>
  <c r="P52"/>
  <c r="J52"/>
  <c r="X52" s="1"/>
  <c r="P51"/>
  <c r="J51"/>
  <c r="X51" s="1"/>
  <c r="P50"/>
  <c r="J50"/>
  <c r="X50" s="1"/>
  <c r="P49"/>
  <c r="J49"/>
  <c r="X49" s="1"/>
  <c r="P48"/>
  <c r="J48"/>
  <c r="X48" s="1"/>
  <c r="P47"/>
  <c r="J47"/>
  <c r="X47" s="1"/>
  <c r="P46"/>
  <c r="J46"/>
  <c r="X46" s="1"/>
  <c r="P45"/>
  <c r="J45"/>
  <c r="X45" s="1"/>
  <c r="P44"/>
  <c r="J44"/>
  <c r="X44" s="1"/>
  <c r="T43"/>
  <c r="P43"/>
  <c r="J43"/>
  <c r="X43" s="1"/>
  <c r="P42"/>
  <c r="X42" s="1"/>
  <c r="J42"/>
  <c r="P41"/>
  <c r="J41"/>
  <c r="X41" s="1"/>
  <c r="T40"/>
  <c r="T68" s="1"/>
  <c r="P40"/>
  <c r="J40"/>
  <c r="X40" s="1"/>
  <c r="P39"/>
  <c r="J39"/>
  <c r="X39" s="1"/>
  <c r="X38"/>
  <c r="P38"/>
  <c r="J38"/>
  <c r="P37"/>
  <c r="J37"/>
  <c r="X37" s="1"/>
  <c r="X36"/>
  <c r="P36"/>
  <c r="J36"/>
  <c r="P35"/>
  <c r="J35"/>
  <c r="X35" s="1"/>
  <c r="X34"/>
  <c r="P34"/>
  <c r="J34"/>
  <c r="P33"/>
  <c r="J33"/>
  <c r="X33" s="1"/>
  <c r="X32"/>
  <c r="P32"/>
  <c r="J32"/>
  <c r="P31"/>
  <c r="J31"/>
  <c r="X31" s="1"/>
  <c r="X30"/>
  <c r="P30"/>
  <c r="J30"/>
  <c r="P29"/>
  <c r="J29"/>
  <c r="X29" s="1"/>
  <c r="X28"/>
  <c r="P28"/>
  <c r="J28"/>
  <c r="P27"/>
  <c r="J27"/>
  <c r="X27" s="1"/>
  <c r="X26"/>
  <c r="P26"/>
  <c r="J26"/>
  <c r="P25"/>
  <c r="J25"/>
  <c r="X25" s="1"/>
  <c r="X24"/>
  <c r="P24"/>
  <c r="J24"/>
  <c r="P23"/>
  <c r="J23"/>
  <c r="X23" s="1"/>
  <c r="X22"/>
  <c r="P22"/>
  <c r="J22"/>
  <c r="P21"/>
  <c r="J21"/>
  <c r="X21" s="1"/>
  <c r="X20"/>
  <c r="P20"/>
  <c r="J20"/>
  <c r="P19"/>
  <c r="J19"/>
  <c r="X19" s="1"/>
  <c r="X18"/>
  <c r="P18"/>
  <c r="J18"/>
  <c r="P17"/>
  <c r="J17"/>
  <c r="X17" s="1"/>
  <c r="X16"/>
  <c r="P16"/>
  <c r="J16"/>
  <c r="P15"/>
  <c r="J15"/>
  <c r="X15" s="1"/>
  <c r="X14"/>
  <c r="P14"/>
  <c r="J14"/>
  <c r="P13"/>
  <c r="J13"/>
  <c r="X13" s="1"/>
  <c r="X12"/>
  <c r="P12"/>
  <c r="J12"/>
  <c r="P11"/>
  <c r="J11"/>
  <c r="X11" s="1"/>
  <c r="X10"/>
  <c r="P10"/>
  <c r="J10"/>
  <c r="P9"/>
  <c r="J9"/>
  <c r="X9" s="1"/>
  <c r="X8"/>
  <c r="P8"/>
  <c r="J8"/>
  <c r="P7"/>
  <c r="P68" s="1"/>
  <c r="J7"/>
  <c r="X7" s="1"/>
  <c r="X6"/>
  <c r="P6"/>
  <c r="J6"/>
  <c r="J68" s="1"/>
  <c r="W216" i="1"/>
  <c r="V216"/>
  <c r="U216"/>
  <c r="S216"/>
  <c r="R216"/>
  <c r="Q216"/>
  <c r="O216"/>
  <c r="N216"/>
  <c r="M216"/>
  <c r="L216"/>
  <c r="K216"/>
  <c r="I216"/>
  <c r="H216"/>
  <c r="G216"/>
  <c r="F216"/>
  <c r="X215"/>
  <c r="P215"/>
  <c r="P215" i="16" s="1"/>
  <c r="J215" i="1"/>
  <c r="P214"/>
  <c r="J214"/>
  <c r="J214" i="16" s="1"/>
  <c r="X213" i="1"/>
  <c r="P213"/>
  <c r="P213" i="16" s="1"/>
  <c r="J213" i="1"/>
  <c r="P212"/>
  <c r="J212"/>
  <c r="J212" i="16" s="1"/>
  <c r="X211" i="1"/>
  <c r="P211"/>
  <c r="P211" i="16" s="1"/>
  <c r="J211" i="1"/>
  <c r="P210"/>
  <c r="J210"/>
  <c r="X210" s="1"/>
  <c r="X209"/>
  <c r="P209"/>
  <c r="P209" i="16" s="1"/>
  <c r="J209" i="1"/>
  <c r="P208"/>
  <c r="J208"/>
  <c r="J208" i="16" s="1"/>
  <c r="X207" i="1"/>
  <c r="P207"/>
  <c r="P207" i="16" s="1"/>
  <c r="J207" i="1"/>
  <c r="P206"/>
  <c r="J206"/>
  <c r="J206" i="16" s="1"/>
  <c r="X205" i="1"/>
  <c r="P205"/>
  <c r="P205" i="16" s="1"/>
  <c r="J205" i="1"/>
  <c r="P204"/>
  <c r="J204"/>
  <c r="X204" s="1"/>
  <c r="X203"/>
  <c r="P203"/>
  <c r="P203" i="16" s="1"/>
  <c r="J203" i="1"/>
  <c r="P202"/>
  <c r="J202"/>
  <c r="J202" i="16" s="1"/>
  <c r="X201" i="1"/>
  <c r="P201"/>
  <c r="P201" i="16" s="1"/>
  <c r="J201" i="1"/>
  <c r="P200"/>
  <c r="J200"/>
  <c r="J200" i="16" s="1"/>
  <c r="X199" i="1"/>
  <c r="P199"/>
  <c r="P199" i="16" s="1"/>
  <c r="J199" i="1"/>
  <c r="P198"/>
  <c r="J198"/>
  <c r="X198" s="1"/>
  <c r="X197"/>
  <c r="P197"/>
  <c r="P197" i="16" s="1"/>
  <c r="J197" i="1"/>
  <c r="P196"/>
  <c r="J196"/>
  <c r="J196" i="16" s="1"/>
  <c r="X195" i="1"/>
  <c r="P195"/>
  <c r="J195"/>
  <c r="J195" i="16" s="1"/>
  <c r="P194" i="1"/>
  <c r="P194" i="16" s="1"/>
  <c r="J194" i="1"/>
  <c r="J194" i="16" s="1"/>
  <c r="X193" i="1"/>
  <c r="P193"/>
  <c r="J193"/>
  <c r="J193" i="16" s="1"/>
  <c r="P192" i="1"/>
  <c r="P192" i="16" s="1"/>
  <c r="J192" i="1"/>
  <c r="X192" s="1"/>
  <c r="X191"/>
  <c r="T191" i="16"/>
  <c r="P191" i="1"/>
  <c r="P191" i="16" s="1"/>
  <c r="J191" i="1"/>
  <c r="P190"/>
  <c r="J190"/>
  <c r="J190" i="16" s="1"/>
  <c r="P189" i="1"/>
  <c r="X189" s="1"/>
  <c r="J189"/>
  <c r="P188"/>
  <c r="J188"/>
  <c r="J188" i="16" s="1"/>
  <c r="T187" i="1"/>
  <c r="T187" i="16" s="1"/>
  <c r="P187" i="1"/>
  <c r="J187"/>
  <c r="J187" i="16" s="1"/>
  <c r="P186" i="1"/>
  <c r="P186" i="16" s="1"/>
  <c r="J186" i="1"/>
  <c r="P185"/>
  <c r="P185" i="16" s="1"/>
  <c r="J185" i="1"/>
  <c r="X184"/>
  <c r="P184"/>
  <c r="J184"/>
  <c r="P183"/>
  <c r="P183" i="16" s="1"/>
  <c r="J183" i="1"/>
  <c r="X183" s="1"/>
  <c r="X182"/>
  <c r="P182"/>
  <c r="J182"/>
  <c r="P181"/>
  <c r="P181" i="16" s="1"/>
  <c r="J181" i="1"/>
  <c r="X181" s="1"/>
  <c r="X180"/>
  <c r="P180"/>
  <c r="J180"/>
  <c r="P179"/>
  <c r="P179" i="16" s="1"/>
  <c r="J179" i="1"/>
  <c r="X179" s="1"/>
  <c r="X178"/>
  <c r="P178"/>
  <c r="J178"/>
  <c r="P177"/>
  <c r="P177" i="16" s="1"/>
  <c r="J177" i="1"/>
  <c r="X177" s="1"/>
  <c r="X176"/>
  <c r="P176"/>
  <c r="J176"/>
  <c r="P175"/>
  <c r="P175" i="16" s="1"/>
  <c r="J175" i="1"/>
  <c r="X175" s="1"/>
  <c r="X174"/>
  <c r="P174"/>
  <c r="J174"/>
  <c r="P173"/>
  <c r="P173" i="16" s="1"/>
  <c r="J173" i="1"/>
  <c r="X173" s="1"/>
  <c r="X172"/>
  <c r="P172"/>
  <c r="J172"/>
  <c r="P171"/>
  <c r="J171"/>
  <c r="X171" s="1"/>
  <c r="X170"/>
  <c r="P170"/>
  <c r="J170"/>
  <c r="P169"/>
  <c r="P169" i="16" s="1"/>
  <c r="J169" i="1"/>
  <c r="X169" s="1"/>
  <c r="X168"/>
  <c r="P168"/>
  <c r="J168"/>
  <c r="P167"/>
  <c r="J167"/>
  <c r="J167" i="16" s="1"/>
  <c r="X166" i="1"/>
  <c r="P166"/>
  <c r="P166" i="16" s="1"/>
  <c r="J166" i="1"/>
  <c r="P165"/>
  <c r="J165"/>
  <c r="J165" i="16" s="1"/>
  <c r="X164" i="1"/>
  <c r="P164"/>
  <c r="P164" i="16" s="1"/>
  <c r="J164" i="1"/>
  <c r="P163"/>
  <c r="J163"/>
  <c r="X163" s="1"/>
  <c r="X162"/>
  <c r="P162"/>
  <c r="P162" i="16" s="1"/>
  <c r="J162" i="1"/>
  <c r="P161"/>
  <c r="J161"/>
  <c r="J161" i="16" s="1"/>
  <c r="X160" i="1"/>
  <c r="P160"/>
  <c r="P160" i="16" s="1"/>
  <c r="J160" i="1"/>
  <c r="P159"/>
  <c r="P216" s="1"/>
  <c r="J159"/>
  <c r="W158"/>
  <c r="V158"/>
  <c r="U158"/>
  <c r="S158"/>
  <c r="R158"/>
  <c r="Q158"/>
  <c r="O158"/>
  <c r="N158"/>
  <c r="M158"/>
  <c r="L158"/>
  <c r="K158"/>
  <c r="I158"/>
  <c r="H158"/>
  <c r="G158"/>
  <c r="F158"/>
  <c r="T157"/>
  <c r="P157"/>
  <c r="J157"/>
  <c r="X157" s="1"/>
  <c r="P156"/>
  <c r="P156" i="16" s="1"/>
  <c r="J156" i="1"/>
  <c r="P155"/>
  <c r="J155"/>
  <c r="X155" s="1"/>
  <c r="T154"/>
  <c r="T154" i="16" s="1"/>
  <c r="P154" i="1"/>
  <c r="P154" i="16" s="1"/>
  <c r="J154" i="1"/>
  <c r="J154" i="16" s="1"/>
  <c r="P153" i="1"/>
  <c r="J153"/>
  <c r="X153" s="1"/>
  <c r="X152"/>
  <c r="P152"/>
  <c r="P152" i="16" s="1"/>
  <c r="J152" i="1"/>
  <c r="P151"/>
  <c r="J151"/>
  <c r="J151" i="16" s="1"/>
  <c r="X150" i="1"/>
  <c r="P150"/>
  <c r="P150" i="16" s="1"/>
  <c r="J150" i="1"/>
  <c r="P149"/>
  <c r="J149"/>
  <c r="J149" i="16" s="1"/>
  <c r="X148" i="1"/>
  <c r="T148" i="16"/>
  <c r="P148" i="1"/>
  <c r="J148"/>
  <c r="T147" i="16"/>
  <c r="P147" i="1"/>
  <c r="P147" i="16" s="1"/>
  <c r="J147" i="1"/>
  <c r="J147" i="16" s="1"/>
  <c r="P146" i="1"/>
  <c r="J146"/>
  <c r="X146" s="1"/>
  <c r="P145"/>
  <c r="P145" i="16" s="1"/>
  <c r="J145" i="1"/>
  <c r="J145" i="16" s="1"/>
  <c r="P144" i="1"/>
  <c r="J144"/>
  <c r="X144" s="1"/>
  <c r="P143"/>
  <c r="P143" i="16" s="1"/>
  <c r="J143" i="1"/>
  <c r="T142"/>
  <c r="P142"/>
  <c r="X142" s="1"/>
  <c r="J142"/>
  <c r="X141"/>
  <c r="P141"/>
  <c r="P141" i="16" s="1"/>
  <c r="J141" i="1"/>
  <c r="P140"/>
  <c r="J140"/>
  <c r="J140" i="16" s="1"/>
  <c r="X139" i="1"/>
  <c r="P139"/>
  <c r="P139" i="16" s="1"/>
  <c r="J139" i="1"/>
  <c r="P138"/>
  <c r="J138"/>
  <c r="X138" s="1"/>
  <c r="X137"/>
  <c r="P137"/>
  <c r="P137" i="16" s="1"/>
  <c r="J137" i="1"/>
  <c r="P136"/>
  <c r="P158" s="1"/>
  <c r="J136"/>
  <c r="J136" i="16" s="1"/>
  <c r="X135" i="1"/>
  <c r="P135"/>
  <c r="P135" i="16" s="1"/>
  <c r="J135" i="1"/>
  <c r="W134"/>
  <c r="V134"/>
  <c r="U134"/>
  <c r="S134"/>
  <c r="R134"/>
  <c r="Q134"/>
  <c r="O134"/>
  <c r="N134"/>
  <c r="M134"/>
  <c r="K134"/>
  <c r="I134"/>
  <c r="H134"/>
  <c r="G134"/>
  <c r="F134"/>
  <c r="P133"/>
  <c r="J133"/>
  <c r="J133" i="16" s="1"/>
  <c r="P132" i="1"/>
  <c r="X132" s="1"/>
  <c r="J132"/>
  <c r="P131"/>
  <c r="P131" i="16" s="1"/>
  <c r="J131" i="1"/>
  <c r="J131" i="16" s="1"/>
  <c r="P130" i="1"/>
  <c r="X130" s="1"/>
  <c r="J130"/>
  <c r="P129"/>
  <c r="P129" i="16" s="1"/>
  <c r="J129" i="1"/>
  <c r="J129" i="16" s="1"/>
  <c r="P128" i="1"/>
  <c r="X128" s="1"/>
  <c r="J128"/>
  <c r="P127"/>
  <c r="J127"/>
  <c r="J127" i="16" s="1"/>
  <c r="P126" i="1"/>
  <c r="X126" s="1"/>
  <c r="J126"/>
  <c r="P125"/>
  <c r="P125" i="16" s="1"/>
  <c r="J125" i="1"/>
  <c r="J125" i="16" s="1"/>
  <c r="P124" i="1"/>
  <c r="X124" s="1"/>
  <c r="J124"/>
  <c r="P123"/>
  <c r="P123" i="16" s="1"/>
  <c r="J123" i="1"/>
  <c r="J123" i="16" s="1"/>
  <c r="P122" i="1"/>
  <c r="X122" s="1"/>
  <c r="J122"/>
  <c r="P121"/>
  <c r="P121" i="16" s="1"/>
  <c r="J121" i="1"/>
  <c r="J121" i="16" s="1"/>
  <c r="P120" i="1"/>
  <c r="X120" s="1"/>
  <c r="J120"/>
  <c r="P119"/>
  <c r="P119" i="16" s="1"/>
  <c r="J119" i="1"/>
  <c r="J119" i="16" s="1"/>
  <c r="P118" i="1"/>
  <c r="X118" s="1"/>
  <c r="J118"/>
  <c r="P117"/>
  <c r="J117"/>
  <c r="J117" i="16" s="1"/>
  <c r="P116" i="1"/>
  <c r="X116" s="1"/>
  <c r="J116"/>
  <c r="P115"/>
  <c r="P115" i="16" s="1"/>
  <c r="J115" i="1"/>
  <c r="J115" i="16" s="1"/>
  <c r="P114" i="1"/>
  <c r="X114" s="1"/>
  <c r="J114"/>
  <c r="P113"/>
  <c r="P113" i="16" s="1"/>
  <c r="J113" i="1"/>
  <c r="J113" i="16" s="1"/>
  <c r="P112" i="1"/>
  <c r="X112" s="1"/>
  <c r="J112"/>
  <c r="P111"/>
  <c r="P111" i="16" s="1"/>
  <c r="J111" i="1"/>
  <c r="J111" i="16" s="1"/>
  <c r="P110" i="1"/>
  <c r="X110" s="1"/>
  <c r="J110"/>
  <c r="P109"/>
  <c r="P109" i="16" s="1"/>
  <c r="J109" i="1"/>
  <c r="J109" i="16" s="1"/>
  <c r="P108" i="1"/>
  <c r="X108" s="1"/>
  <c r="J108"/>
  <c r="P107"/>
  <c r="P107" i="16" s="1"/>
  <c r="J107" i="1"/>
  <c r="J107" i="16" s="1"/>
  <c r="P106" i="1"/>
  <c r="X106" s="1"/>
  <c r="J106"/>
  <c r="P105"/>
  <c r="P105" i="16" s="1"/>
  <c r="J105" i="1"/>
  <c r="J105" i="16" s="1"/>
  <c r="T104" i="1"/>
  <c r="T104" i="16" s="1"/>
  <c r="P104" i="1"/>
  <c r="J104"/>
  <c r="J104" i="16" s="1"/>
  <c r="P103" i="1"/>
  <c r="P103" i="16" s="1"/>
  <c r="J103" i="1"/>
  <c r="P102"/>
  <c r="J102"/>
  <c r="J102" i="16" s="1"/>
  <c r="P101" i="1"/>
  <c r="P101" i="16" s="1"/>
  <c r="J101" i="1"/>
  <c r="J101" i="16" s="1"/>
  <c r="P100" i="1"/>
  <c r="P100" i="16" s="1"/>
  <c r="J100" i="1"/>
  <c r="X100" s="1"/>
  <c r="X99"/>
  <c r="P99"/>
  <c r="J99"/>
  <c r="P98"/>
  <c r="J98"/>
  <c r="X98" s="1"/>
  <c r="X97"/>
  <c r="P97"/>
  <c r="J97"/>
  <c r="J97" i="16" s="1"/>
  <c r="P96" i="1"/>
  <c r="P96" i="16" s="1"/>
  <c r="J96" i="1"/>
  <c r="X96" s="1"/>
  <c r="X95"/>
  <c r="P95"/>
  <c r="J95"/>
  <c r="P94"/>
  <c r="P94" i="16" s="1"/>
  <c r="J94" i="1"/>
  <c r="X94" s="1"/>
  <c r="W93"/>
  <c r="V93"/>
  <c r="V217" s="1"/>
  <c r="U93"/>
  <c r="S93"/>
  <c r="R93"/>
  <c r="Q93"/>
  <c r="O93"/>
  <c r="N93"/>
  <c r="M93"/>
  <c r="L93"/>
  <c r="K93"/>
  <c r="I93"/>
  <c r="H93"/>
  <c r="G93"/>
  <c r="F93"/>
  <c r="P92"/>
  <c r="P92" i="16" s="1"/>
  <c r="J92" i="1"/>
  <c r="P91"/>
  <c r="J91"/>
  <c r="J91" i="16" s="1"/>
  <c r="P90" i="1"/>
  <c r="P90" i="16" s="1"/>
  <c r="J90" i="1"/>
  <c r="P89"/>
  <c r="J89"/>
  <c r="J89" i="16" s="1"/>
  <c r="P88" i="1"/>
  <c r="P88" i="16" s="1"/>
  <c r="J88" i="1"/>
  <c r="P87"/>
  <c r="J87"/>
  <c r="J87" i="16" s="1"/>
  <c r="P86" i="1"/>
  <c r="P86" i="16" s="1"/>
  <c r="J86" i="1"/>
  <c r="P85"/>
  <c r="J85"/>
  <c r="J85" i="16" s="1"/>
  <c r="P84"/>
  <c r="F81"/>
  <c r="X81" s="1"/>
  <c r="P78" i="1"/>
  <c r="P78" i="16" s="1"/>
  <c r="J78" i="1"/>
  <c r="J78" i="16" s="1"/>
  <c r="P77" i="1"/>
  <c r="J77"/>
  <c r="J77" i="16" s="1"/>
  <c r="T76" i="1"/>
  <c r="T76" i="16" s="1"/>
  <c r="P76" i="1"/>
  <c r="J76"/>
  <c r="P75"/>
  <c r="P75" i="16" s="1"/>
  <c r="J75" i="1"/>
  <c r="J75" i="16" s="1"/>
  <c r="P74" i="1"/>
  <c r="P74" i="16" s="1"/>
  <c r="J74" i="1"/>
  <c r="P73"/>
  <c r="J73"/>
  <c r="J73" i="16" s="1"/>
  <c r="P72" i="1"/>
  <c r="X72" s="1"/>
  <c r="J72"/>
  <c r="P71"/>
  <c r="P71" i="16" s="1"/>
  <c r="J71" i="1"/>
  <c r="J71" i="16" s="1"/>
  <c r="P70" i="1"/>
  <c r="P70" i="16" s="1"/>
  <c r="J70" i="1"/>
  <c r="P69"/>
  <c r="P69" i="16" s="1"/>
  <c r="J69" i="1"/>
  <c r="J69" i="16" s="1"/>
  <c r="W68" i="1"/>
  <c r="V68"/>
  <c r="U68"/>
  <c r="T68"/>
  <c r="S68"/>
  <c r="R68"/>
  <c r="Q68"/>
  <c r="O68"/>
  <c r="N68"/>
  <c r="M68"/>
  <c r="L68"/>
  <c r="K68"/>
  <c r="I68"/>
  <c r="H68"/>
  <c r="G68"/>
  <c r="F68"/>
  <c r="P67"/>
  <c r="J67"/>
  <c r="X67" s="1"/>
  <c r="P66"/>
  <c r="P66" i="16" s="1"/>
  <c r="J66" i="1"/>
  <c r="P65"/>
  <c r="J65"/>
  <c r="X65" s="1"/>
  <c r="P64"/>
  <c r="P64" i="16" s="1"/>
  <c r="J64" i="1"/>
  <c r="P63"/>
  <c r="J63"/>
  <c r="X63" s="1"/>
  <c r="P62"/>
  <c r="P62" i="16" s="1"/>
  <c r="J62" i="1"/>
  <c r="P61"/>
  <c r="J61"/>
  <c r="X61" s="1"/>
  <c r="P60"/>
  <c r="P60" i="16" s="1"/>
  <c r="J60" i="1"/>
  <c r="P59"/>
  <c r="J59"/>
  <c r="X59" s="1"/>
  <c r="P58"/>
  <c r="P58" i="16" s="1"/>
  <c r="J58" i="1"/>
  <c r="P57"/>
  <c r="J57"/>
  <c r="X57" s="1"/>
  <c r="P56"/>
  <c r="P56" i="16" s="1"/>
  <c r="J56" i="1"/>
  <c r="P55"/>
  <c r="J55"/>
  <c r="X55" s="1"/>
  <c r="P54"/>
  <c r="P54" i="16" s="1"/>
  <c r="J54" i="1"/>
  <c r="P53"/>
  <c r="J53"/>
  <c r="X53" s="1"/>
  <c r="P52"/>
  <c r="P52" i="16" s="1"/>
  <c r="J52" i="1"/>
  <c r="P51"/>
  <c r="J51"/>
  <c r="X51" s="1"/>
  <c r="P50"/>
  <c r="P50" i="16" s="1"/>
  <c r="J50" i="1"/>
  <c r="P49"/>
  <c r="J49"/>
  <c r="X49" s="1"/>
  <c r="P48"/>
  <c r="P48" i="16" s="1"/>
  <c r="J48" i="1"/>
  <c r="P47"/>
  <c r="J47"/>
  <c r="X47" s="1"/>
  <c r="P46"/>
  <c r="P46" i="16" s="1"/>
  <c r="J46" i="1"/>
  <c r="P45"/>
  <c r="J45"/>
  <c r="X45" s="1"/>
  <c r="P44"/>
  <c r="P44" i="16" s="1"/>
  <c r="J44" i="1"/>
  <c r="T43"/>
  <c r="P43"/>
  <c r="J43"/>
  <c r="J43" i="16" s="1"/>
  <c r="X42" i="1"/>
  <c r="P42"/>
  <c r="J42"/>
  <c r="J42" i="16" s="1"/>
  <c r="P41" i="1"/>
  <c r="J41"/>
  <c r="X41" s="1"/>
  <c r="X40"/>
  <c r="T40"/>
  <c r="P40"/>
  <c r="P40" i="16" s="1"/>
  <c r="J40" i="1"/>
  <c r="P39"/>
  <c r="P39" i="16" s="1"/>
  <c r="J39" i="1"/>
  <c r="J39" i="16" s="1"/>
  <c r="P38" i="1"/>
  <c r="P38" i="16" s="1"/>
  <c r="J38" i="1"/>
  <c r="P37"/>
  <c r="P37" i="16" s="1"/>
  <c r="J37" i="1"/>
  <c r="J37" i="16" s="1"/>
  <c r="P36" i="1"/>
  <c r="P36" i="16" s="1"/>
  <c r="J36" i="1"/>
  <c r="P35"/>
  <c r="J35"/>
  <c r="J35" i="16" s="1"/>
  <c r="P34" i="1"/>
  <c r="P34" i="16" s="1"/>
  <c r="J34" i="1"/>
  <c r="P33"/>
  <c r="P33" i="16" s="1"/>
  <c r="J33" i="1"/>
  <c r="J33" i="16" s="1"/>
  <c r="P32" i="1"/>
  <c r="P32" i="16" s="1"/>
  <c r="J32" i="1"/>
  <c r="P31"/>
  <c r="J31"/>
  <c r="J31" i="16" s="1"/>
  <c r="P30" i="1"/>
  <c r="P30" i="16" s="1"/>
  <c r="J30" i="1"/>
  <c r="P29"/>
  <c r="P29" i="16" s="1"/>
  <c r="J29" i="1"/>
  <c r="J29" i="16" s="1"/>
  <c r="P28" i="1"/>
  <c r="P28" i="16" s="1"/>
  <c r="J28" i="1"/>
  <c r="P27"/>
  <c r="P27" i="16" s="1"/>
  <c r="J27" i="1"/>
  <c r="J27" i="16" s="1"/>
  <c r="J26" i="1"/>
  <c r="J26" i="16" s="1"/>
  <c r="P25" i="1"/>
  <c r="P25" i="16" s="1"/>
  <c r="J25" i="1"/>
  <c r="X25" s="1"/>
  <c r="X24"/>
  <c r="P24"/>
  <c r="J24"/>
  <c r="J24" i="16" s="1"/>
  <c r="P23" i="1"/>
  <c r="J23"/>
  <c r="X23" s="1"/>
  <c r="X22"/>
  <c r="P22"/>
  <c r="P22" i="16" s="1"/>
  <c r="J22" i="1"/>
  <c r="J22" i="16" s="1"/>
  <c r="P21" i="1"/>
  <c r="P21" i="16" s="1"/>
  <c r="J21" i="1"/>
  <c r="X21" s="1"/>
  <c r="X20"/>
  <c r="P20"/>
  <c r="P20" i="16" s="1"/>
  <c r="J20" i="1"/>
  <c r="P19"/>
  <c r="P19" i="16" s="1"/>
  <c r="J19" i="1"/>
  <c r="J19" i="16" s="1"/>
  <c r="X18" i="1"/>
  <c r="P18"/>
  <c r="P18" i="16" s="1"/>
  <c r="J18" i="1"/>
  <c r="J18" i="16" s="1"/>
  <c r="P17" i="1"/>
  <c r="P17" i="16" s="1"/>
  <c r="J17" i="1"/>
  <c r="J17" i="16" s="1"/>
  <c r="X16" i="1"/>
  <c r="P16"/>
  <c r="P16" i="16" s="1"/>
  <c r="J16" i="1"/>
  <c r="J16" i="16" s="1"/>
  <c r="P15" i="1"/>
  <c r="P15" i="16" s="1"/>
  <c r="J15" i="1"/>
  <c r="J15" i="16" s="1"/>
  <c r="X14" i="1"/>
  <c r="P14"/>
  <c r="P14" i="16" s="1"/>
  <c r="J14" i="1"/>
  <c r="J14" i="16" s="1"/>
  <c r="P13" i="1"/>
  <c r="P13" i="16" s="1"/>
  <c r="J13" i="1"/>
  <c r="X13" s="1"/>
  <c r="X12"/>
  <c r="P12"/>
  <c r="P12" i="16" s="1"/>
  <c r="J12" i="1"/>
  <c r="J12" i="16" s="1"/>
  <c r="P11" i="1"/>
  <c r="J11"/>
  <c r="X11" s="1"/>
  <c r="X10"/>
  <c r="P10"/>
  <c r="P10" i="16" s="1"/>
  <c r="J10" i="1"/>
  <c r="J10" i="16" s="1"/>
  <c r="P9" i="1"/>
  <c r="P9" i="16" s="1"/>
  <c r="J9" i="1"/>
  <c r="X9" s="1"/>
  <c r="X8"/>
  <c r="P8"/>
  <c r="P8" i="16" s="1"/>
  <c r="J8" i="1"/>
  <c r="J8" i="16" s="1"/>
  <c r="P7" i="1"/>
  <c r="J7"/>
  <c r="X7" s="1"/>
  <c r="X6"/>
  <c r="P6"/>
  <c r="P6" i="16" s="1"/>
  <c r="J6" i="1"/>
  <c r="J6" i="16" s="1"/>
  <c r="U50" i="19" l="1"/>
  <c r="U56"/>
  <c r="U120"/>
  <c r="U125"/>
  <c r="P31" i="16"/>
  <c r="U18" i="19"/>
  <c r="U28"/>
  <c r="X32" i="15"/>
  <c r="T32" i="19" s="1"/>
  <c r="U32" s="1"/>
  <c r="X43" i="15"/>
  <c r="T43" i="19" s="1"/>
  <c r="P57" i="15"/>
  <c r="X57" s="1"/>
  <c r="T57" i="19" s="1"/>
  <c r="X60" i="15"/>
  <c r="T60" i="19" s="1"/>
  <c r="X63" i="15"/>
  <c r="T63" i="19" s="1"/>
  <c r="U63" s="1"/>
  <c r="X66" i="15"/>
  <c r="T66" i="19" s="1"/>
  <c r="X70" i="15"/>
  <c r="T70" i="19" s="1"/>
  <c r="U70" s="1"/>
  <c r="X90" i="15"/>
  <c r="T90" i="19" s="1"/>
  <c r="P158" i="15"/>
  <c r="X165"/>
  <c r="T165" i="19" s="1"/>
  <c r="U165" s="1"/>
  <c r="X168" i="15"/>
  <c r="T168" i="19" s="1"/>
  <c r="U168" s="1"/>
  <c r="U72"/>
  <c r="U153"/>
  <c r="U16"/>
  <c r="U98"/>
  <c r="U104"/>
  <c r="U122"/>
  <c r="U177"/>
  <c r="U190"/>
  <c r="P31" i="15"/>
  <c r="X34"/>
  <c r="T34" i="19" s="1"/>
  <c r="X37" i="15"/>
  <c r="T37" i="19" s="1"/>
  <c r="U37" s="1"/>
  <c r="X45" i="15"/>
  <c r="T45" i="19" s="1"/>
  <c r="U45" s="1"/>
  <c r="X59" i="15"/>
  <c r="T59" i="19" s="1"/>
  <c r="X62" i="15"/>
  <c r="T62" i="19" s="1"/>
  <c r="U62" s="1"/>
  <c r="X65" i="15"/>
  <c r="T65" i="19" s="1"/>
  <c r="X86" i="15"/>
  <c r="T86" i="19" s="1"/>
  <c r="X89" i="15"/>
  <c r="T89" i="19" s="1"/>
  <c r="X92" i="15"/>
  <c r="T92" i="19" s="1"/>
  <c r="U92" s="1"/>
  <c r="X106" i="15"/>
  <c r="T106" i="19" s="1"/>
  <c r="X161" i="15"/>
  <c r="T161" i="19" s="1"/>
  <c r="X164" i="15"/>
  <c r="T164" i="19" s="1"/>
  <c r="X167" i="15"/>
  <c r="T167" i="19" s="1"/>
  <c r="X176" i="15"/>
  <c r="T176" i="19" s="1"/>
  <c r="U103"/>
  <c r="U113"/>
  <c r="U126"/>
  <c r="U156"/>
  <c r="X128" i="15"/>
  <c r="T128" i="19" s="1"/>
  <c r="U128" s="1"/>
  <c r="U30"/>
  <c r="U51"/>
  <c r="U57"/>
  <c r="U180"/>
  <c r="X31" i="15"/>
  <c r="T31" i="19" s="1"/>
  <c r="U31" s="1"/>
  <c r="X33" i="15"/>
  <c r="T33" i="19" s="1"/>
  <c r="X36" i="15"/>
  <c r="T36" i="19" s="1"/>
  <c r="U36" s="1"/>
  <c r="X40" i="15"/>
  <c r="T40" i="19" s="1"/>
  <c r="X44" i="15"/>
  <c r="T44" i="19" s="1"/>
  <c r="U44" s="1"/>
  <c r="X58" i="15"/>
  <c r="T58" i="19" s="1"/>
  <c r="X61" i="15"/>
  <c r="T61" i="19" s="1"/>
  <c r="X64" i="15"/>
  <c r="T64" i="19" s="1"/>
  <c r="U64" s="1"/>
  <c r="X67" i="15"/>
  <c r="T67" i="19" s="1"/>
  <c r="X73" i="15"/>
  <c r="T73" i="19" s="1"/>
  <c r="U73" s="1"/>
  <c r="X85" i="15"/>
  <c r="T85" i="19" s="1"/>
  <c r="X88" i="15"/>
  <c r="T88" i="19" s="1"/>
  <c r="U88" s="1"/>
  <c r="X91" i="15"/>
  <c r="T91" i="19" s="1"/>
  <c r="X160" i="15"/>
  <c r="T160" i="19" s="1"/>
  <c r="U160" s="1"/>
  <c r="X163" i="15"/>
  <c r="T163" i="19" s="1"/>
  <c r="U163" s="1"/>
  <c r="X166" i="15"/>
  <c r="T166" i="19" s="1"/>
  <c r="U166" s="1"/>
  <c r="I216" i="16"/>
  <c r="V216"/>
  <c r="U10" i="19"/>
  <c r="U15"/>
  <c r="U41"/>
  <c r="U71"/>
  <c r="U74"/>
  <c r="U97"/>
  <c r="U117"/>
  <c r="U121"/>
  <c r="U140"/>
  <c r="U152"/>
  <c r="U167"/>
  <c r="U181"/>
  <c r="U185"/>
  <c r="U198"/>
  <c r="U203"/>
  <c r="U215"/>
  <c r="X17" i="9"/>
  <c r="N17" i="19" s="1"/>
  <c r="X29" i="9"/>
  <c r="N29" i="19" s="1"/>
  <c r="X43" i="9"/>
  <c r="N43" i="19" s="1"/>
  <c r="X48" i="9"/>
  <c r="N48" i="19" s="1"/>
  <c r="X54" i="9"/>
  <c r="N54" i="19" s="1"/>
  <c r="X60" i="9"/>
  <c r="N60" i="19" s="1"/>
  <c r="X66" i="9"/>
  <c r="N66" i="19" s="1"/>
  <c r="X71" i="9"/>
  <c r="N71" i="19" s="1"/>
  <c r="X90" i="9"/>
  <c r="N90" i="19" s="1"/>
  <c r="U90" s="1"/>
  <c r="X102" i="9"/>
  <c r="N102" i="19" s="1"/>
  <c r="X112" i="9"/>
  <c r="N112" i="19" s="1"/>
  <c r="X124" i="9"/>
  <c r="N124" i="19" s="1"/>
  <c r="U124" s="1"/>
  <c r="X137" i="9"/>
  <c r="N137" i="19" s="1"/>
  <c r="U137" s="1"/>
  <c r="X152" i="9"/>
  <c r="N152" i="19" s="1"/>
  <c r="X159" i="9"/>
  <c r="N159" i="19" s="1"/>
  <c r="X164" i="9"/>
  <c r="N164" i="19" s="1"/>
  <c r="X176" i="9"/>
  <c r="N176" i="19" s="1"/>
  <c r="U176" s="1"/>
  <c r="X188" i="9"/>
  <c r="N188" i="19" s="1"/>
  <c r="U188" s="1"/>
  <c r="X200" i="9"/>
  <c r="N200" i="19" s="1"/>
  <c r="X212" i="9"/>
  <c r="N212" i="19" s="1"/>
  <c r="N68" i="16"/>
  <c r="I134"/>
  <c r="U14" i="19"/>
  <c r="U20"/>
  <c r="U26"/>
  <c r="U34"/>
  <c r="U78"/>
  <c r="U102"/>
  <c r="U112"/>
  <c r="U130"/>
  <c r="U151"/>
  <c r="U171"/>
  <c r="U193"/>
  <c r="U197"/>
  <c r="P134" i="9"/>
  <c r="X147"/>
  <c r="N147" i="19" s="1"/>
  <c r="X154" i="9"/>
  <c r="N154" i="19" s="1"/>
  <c r="U154" s="1"/>
  <c r="U29"/>
  <c r="U101"/>
  <c r="U107"/>
  <c r="U111"/>
  <c r="U115"/>
  <c r="U136"/>
  <c r="U150"/>
  <c r="U161"/>
  <c r="U175"/>
  <c r="U179"/>
  <c r="U207"/>
  <c r="X9" i="9"/>
  <c r="N9" i="19" s="1"/>
  <c r="X21" i="9"/>
  <c r="N21" i="19" s="1"/>
  <c r="U21" s="1"/>
  <c r="X33" i="9"/>
  <c r="N33" i="19" s="1"/>
  <c r="X75" i="9"/>
  <c r="N75" i="19" s="1"/>
  <c r="X86" i="9"/>
  <c r="N86" i="19" s="1"/>
  <c r="X92" i="9"/>
  <c r="N92" i="19" s="1"/>
  <c r="U24"/>
  <c r="U49"/>
  <c r="U55"/>
  <c r="U61"/>
  <c r="U67"/>
  <c r="U76"/>
  <c r="U100"/>
  <c r="U110"/>
  <c r="U149"/>
  <c r="U170"/>
  <c r="U174"/>
  <c r="U183"/>
  <c r="U191"/>
  <c r="U200"/>
  <c r="U206"/>
  <c r="U210"/>
  <c r="X11" i="9"/>
  <c r="N11" i="19" s="1"/>
  <c r="X23" i="9"/>
  <c r="N23" i="19" s="1"/>
  <c r="X35" i="9"/>
  <c r="N35" i="19" s="1"/>
  <c r="X47" i="9"/>
  <c r="N47" i="19" s="1"/>
  <c r="U47" s="1"/>
  <c r="X53" i="9"/>
  <c r="N53" i="19" s="1"/>
  <c r="U53" s="1"/>
  <c r="X59" i="9"/>
  <c r="N59" i="19" s="1"/>
  <c r="X65" i="9"/>
  <c r="N65" i="19" s="1"/>
  <c r="X77" i="9"/>
  <c r="N77" i="19" s="1"/>
  <c r="U77" s="1"/>
  <c r="X85" i="9"/>
  <c r="N85" i="19" s="1"/>
  <c r="U85" s="1"/>
  <c r="X91" i="9"/>
  <c r="N91" i="19" s="1"/>
  <c r="U91" s="1"/>
  <c r="X96" i="9"/>
  <c r="N96" i="19" s="1"/>
  <c r="U96" s="1"/>
  <c r="X106" i="9"/>
  <c r="N106" i="19" s="1"/>
  <c r="U106" s="1"/>
  <c r="X118" i="9"/>
  <c r="N118" i="19" s="1"/>
  <c r="X128" i="9"/>
  <c r="N128" i="19" s="1"/>
  <c r="X131" i="9"/>
  <c r="N131" i="19" s="1"/>
  <c r="U131" s="1"/>
  <c r="X143" i="9"/>
  <c r="N143" i="19" s="1"/>
  <c r="U143" s="1"/>
  <c r="X155" i="9"/>
  <c r="N155" i="19" s="1"/>
  <c r="U155" s="1"/>
  <c r="X170" i="9"/>
  <c r="N170" i="19" s="1"/>
  <c r="X182" i="9"/>
  <c r="N182" i="19" s="1"/>
  <c r="U182" s="1"/>
  <c r="X194" i="9"/>
  <c r="N194" i="19" s="1"/>
  <c r="X206" i="9"/>
  <c r="N206" i="19" s="1"/>
  <c r="U8"/>
  <c r="U12"/>
  <c r="U17"/>
  <c r="U23"/>
  <c r="U43"/>
  <c r="U48"/>
  <c r="U54"/>
  <c r="U60"/>
  <c r="U66"/>
  <c r="U95"/>
  <c r="U99"/>
  <c r="U105"/>
  <c r="U109"/>
  <c r="U119"/>
  <c r="U123"/>
  <c r="U127"/>
  <c r="U133"/>
  <c r="U145"/>
  <c r="U169"/>
  <c r="U173"/>
  <c r="U187"/>
  <c r="U205"/>
  <c r="U209"/>
  <c r="J68" i="9"/>
  <c r="X46"/>
  <c r="N46" i="19" s="1"/>
  <c r="U46" s="1"/>
  <c r="X52" i="9"/>
  <c r="N52" i="19" s="1"/>
  <c r="U52" s="1"/>
  <c r="X58" i="9"/>
  <c r="N58" i="19" s="1"/>
  <c r="U58" s="1"/>
  <c r="X64" i="9"/>
  <c r="N64" i="19" s="1"/>
  <c r="P93" i="9"/>
  <c r="U11" i="19"/>
  <c r="U22"/>
  <c r="U38"/>
  <c r="U59"/>
  <c r="U65"/>
  <c r="U69"/>
  <c r="U86"/>
  <c r="U164"/>
  <c r="U194"/>
  <c r="U199"/>
  <c r="U212"/>
  <c r="J68" i="4"/>
  <c r="X40"/>
  <c r="I40" i="19" s="1"/>
  <c r="U40" s="1"/>
  <c r="X75" i="4"/>
  <c r="I75" i="19" s="1"/>
  <c r="U75" s="1"/>
  <c r="J158" i="4"/>
  <c r="X213"/>
  <c r="I213" i="19" s="1"/>
  <c r="U213" s="1"/>
  <c r="X9" i="4"/>
  <c r="I9" i="19" s="1"/>
  <c r="X33" i="4"/>
  <c r="I33" i="19" s="1"/>
  <c r="X147" i="4"/>
  <c r="I147" i="19" s="1"/>
  <c r="U147" s="1"/>
  <c r="X82" i="16"/>
  <c r="I93"/>
  <c r="O158"/>
  <c r="I68"/>
  <c r="N158"/>
  <c r="F216"/>
  <c r="R216"/>
  <c r="H68"/>
  <c r="R93"/>
  <c r="L158"/>
  <c r="X80"/>
  <c r="I158"/>
  <c r="V158"/>
  <c r="N216"/>
  <c r="N93"/>
  <c r="H158"/>
  <c r="H93"/>
  <c r="K217" i="13"/>
  <c r="I217"/>
  <c r="H217"/>
  <c r="N217"/>
  <c r="L217" i="11"/>
  <c r="G217"/>
  <c r="N217" i="10"/>
  <c r="O217" i="9"/>
  <c r="L217"/>
  <c r="K217"/>
  <c r="I217"/>
  <c r="H217"/>
  <c r="H217" i="8"/>
  <c r="G217"/>
  <c r="V217"/>
  <c r="K217"/>
  <c r="I217" i="7"/>
  <c r="H217"/>
  <c r="V217"/>
  <c r="G217"/>
  <c r="N217"/>
  <c r="V217" i="5"/>
  <c r="R217" i="4"/>
  <c r="N217"/>
  <c r="H217"/>
  <c r="G217"/>
  <c r="L217"/>
  <c r="N217" i="3"/>
  <c r="K217"/>
  <c r="I217"/>
  <c r="O217"/>
  <c r="G217" i="2"/>
  <c r="M217"/>
  <c r="L217"/>
  <c r="K217"/>
  <c r="I217"/>
  <c r="N217" i="1"/>
  <c r="K217"/>
  <c r="I217"/>
  <c r="O217"/>
  <c r="G217"/>
  <c r="L93" i="16"/>
  <c r="V217" i="10"/>
  <c r="X201" i="15"/>
  <c r="T201" i="19" s="1"/>
  <c r="U201" s="1"/>
  <c r="L216" i="16"/>
  <c r="I217" i="14"/>
  <c r="H217"/>
  <c r="O217"/>
  <c r="G217"/>
  <c r="N217"/>
  <c r="W217"/>
  <c r="G217" i="12"/>
  <c r="I217"/>
  <c r="H217"/>
  <c r="O217"/>
  <c r="N217"/>
  <c r="W217" i="6"/>
  <c r="H217"/>
  <c r="N217"/>
  <c r="H216" i="16"/>
  <c r="K217" i="6"/>
  <c r="W217" i="1"/>
  <c r="P93" i="15"/>
  <c r="X87"/>
  <c r="T87" i="19" s="1"/>
  <c r="U87" s="1"/>
  <c r="Q217" i="14"/>
  <c r="F217" i="5"/>
  <c r="F217" i="4"/>
  <c r="N217" i="15"/>
  <c r="S217" i="14"/>
  <c r="M217"/>
  <c r="Q217" i="13"/>
  <c r="Q217" i="12"/>
  <c r="S217"/>
  <c r="M217"/>
  <c r="M217" i="11"/>
  <c r="S217"/>
  <c r="U217"/>
  <c r="Q217" i="9"/>
  <c r="M217" i="8"/>
  <c r="S217"/>
  <c r="Q217" i="7"/>
  <c r="S217"/>
  <c r="M217"/>
  <c r="Q217" i="6"/>
  <c r="Q217" i="5"/>
  <c r="S217"/>
  <c r="S217" i="4"/>
  <c r="M217"/>
  <c r="Q217" i="2"/>
  <c r="S217"/>
  <c r="S217" i="1"/>
  <c r="M217"/>
  <c r="X184" i="14"/>
  <c r="S217" i="13"/>
  <c r="J159" i="16"/>
  <c r="H217" i="3"/>
  <c r="X159" i="2"/>
  <c r="H217"/>
  <c r="H217" i="1"/>
  <c r="H134" i="16"/>
  <c r="J134" i="15"/>
  <c r="R217" i="13"/>
  <c r="R217" i="8"/>
  <c r="R217" i="6"/>
  <c r="R217" i="5"/>
  <c r="R217" i="3"/>
  <c r="R217" i="1"/>
  <c r="X68" i="2"/>
  <c r="H217" i="15"/>
  <c r="F217"/>
  <c r="M217"/>
  <c r="F134" i="16"/>
  <c r="R134"/>
  <c r="X118" i="15"/>
  <c r="T118" i="19" s="1"/>
  <c r="U118" s="1"/>
  <c r="O134" i="16"/>
  <c r="P117"/>
  <c r="N134"/>
  <c r="V134"/>
  <c r="U217" i="14"/>
  <c r="V217" i="13"/>
  <c r="W217" i="12"/>
  <c r="U217"/>
  <c r="V217" i="11"/>
  <c r="U217" i="10"/>
  <c r="U217" i="9"/>
  <c r="W217"/>
  <c r="T217" i="8"/>
  <c r="V217" i="6"/>
  <c r="U217"/>
  <c r="W217" i="3"/>
  <c r="V217" i="2"/>
  <c r="W217"/>
  <c r="L217" i="14"/>
  <c r="V217" i="3"/>
  <c r="U217"/>
  <c r="U217" i="2"/>
  <c r="T217"/>
  <c r="V93" i="16"/>
  <c r="U217" i="1"/>
  <c r="Q217"/>
  <c r="W217" i="13"/>
  <c r="X211" i="15"/>
  <c r="T211" i="19" s="1"/>
  <c r="U211" s="1"/>
  <c r="T217" i="14"/>
  <c r="O68" i="16"/>
  <c r="X8"/>
  <c r="X10"/>
  <c r="X12"/>
  <c r="X14"/>
  <c r="X16"/>
  <c r="X18"/>
  <c r="X22"/>
  <c r="Q217"/>
  <c r="G217"/>
  <c r="U217"/>
  <c r="K217"/>
  <c r="S217"/>
  <c r="V68"/>
  <c r="R158"/>
  <c r="W217"/>
  <c r="M217"/>
  <c r="O93"/>
  <c r="X216" i="2"/>
  <c r="X93" i="3"/>
  <c r="X68" i="1"/>
  <c r="X68" i="3"/>
  <c r="P217"/>
  <c r="F217"/>
  <c r="X159" i="8"/>
  <c r="P216"/>
  <c r="X142" i="9"/>
  <c r="N142" i="19" s="1"/>
  <c r="T158" i="9"/>
  <c r="T217" s="1"/>
  <c r="X70" i="8"/>
  <c r="P93"/>
  <c r="X69" i="9"/>
  <c r="N69" i="19" s="1"/>
  <c r="J93" i="9"/>
  <c r="X93" s="1"/>
  <c r="N93" i="19" s="1"/>
  <c r="X94" i="9"/>
  <c r="N94" i="19" s="1"/>
  <c r="U94" s="1"/>
  <c r="J134" i="9"/>
  <c r="X134" s="1"/>
  <c r="N134" i="19" s="1"/>
  <c r="X6" i="15"/>
  <c r="T6" i="19" s="1"/>
  <c r="J68" i="15"/>
  <c r="J158" i="8"/>
  <c r="X158" i="10"/>
  <c r="X33" i="16"/>
  <c r="X129"/>
  <c r="X131"/>
  <c r="P24"/>
  <c r="X24" s="1"/>
  <c r="X26" i="1"/>
  <c r="X28"/>
  <c r="X30"/>
  <c r="X32"/>
  <c r="X34"/>
  <c r="X36"/>
  <c r="X38"/>
  <c r="T40" i="16"/>
  <c r="P42"/>
  <c r="X42" s="1"/>
  <c r="J44"/>
  <c r="J46"/>
  <c r="J48"/>
  <c r="J50"/>
  <c r="X50" s="1"/>
  <c r="J52"/>
  <c r="X52" s="1"/>
  <c r="J54"/>
  <c r="J56"/>
  <c r="J58"/>
  <c r="J60"/>
  <c r="X60" s="1"/>
  <c r="J62"/>
  <c r="X62" s="1"/>
  <c r="J64"/>
  <c r="X64" s="1"/>
  <c r="J66"/>
  <c r="X70" i="1"/>
  <c r="X74"/>
  <c r="P76" i="16"/>
  <c r="X78"/>
  <c r="X86" i="1"/>
  <c r="X88"/>
  <c r="X90"/>
  <c r="X92"/>
  <c r="P95" i="16"/>
  <c r="P97"/>
  <c r="X97" s="1"/>
  <c r="P99"/>
  <c r="L101"/>
  <c r="X101" s="1"/>
  <c r="J103"/>
  <c r="X103" s="1"/>
  <c r="X104" i="1"/>
  <c r="T134"/>
  <c r="J143" i="16"/>
  <c r="X143" s="1"/>
  <c r="X145"/>
  <c r="X147"/>
  <c r="J156"/>
  <c r="P168"/>
  <c r="P170"/>
  <c r="P172"/>
  <c r="P174"/>
  <c r="P176"/>
  <c r="P178"/>
  <c r="P180"/>
  <c r="P182"/>
  <c r="P184"/>
  <c r="J186"/>
  <c r="X186" s="1"/>
  <c r="X187" i="1"/>
  <c r="P193" i="16"/>
  <c r="P195"/>
  <c r="X195" s="1"/>
  <c r="J216" i="1"/>
  <c r="P26" i="16"/>
  <c r="X26" s="1"/>
  <c r="F93" i="2"/>
  <c r="J134"/>
  <c r="J217" s="1"/>
  <c r="L134" i="3"/>
  <c r="L217" s="1"/>
  <c r="T216"/>
  <c r="T217" s="1"/>
  <c r="X6" i="4"/>
  <c r="I6" i="19" s="1"/>
  <c r="U6" s="1"/>
  <c r="X142" i="4"/>
  <c r="I142" i="19" s="1"/>
  <c r="U142" s="1"/>
  <c r="X158" i="4"/>
  <c r="I158" i="19" s="1"/>
  <c r="J216" i="4"/>
  <c r="X216" s="1"/>
  <c r="I216" i="19" s="1"/>
  <c r="J68" i="5"/>
  <c r="P93"/>
  <c r="X102"/>
  <c r="X114"/>
  <c r="X126"/>
  <c r="X148"/>
  <c r="X157"/>
  <c r="I217"/>
  <c r="O217"/>
  <c r="L217"/>
  <c r="J68" i="6"/>
  <c r="O217"/>
  <c r="T158" i="7"/>
  <c r="X158" s="1"/>
  <c r="P216"/>
  <c r="O217"/>
  <c r="J134" i="8"/>
  <c r="J216"/>
  <c r="L217"/>
  <c r="J158" i="9"/>
  <c r="X157"/>
  <c r="N157" i="19" s="1"/>
  <c r="U157" s="1"/>
  <c r="X134" i="13"/>
  <c r="J158"/>
  <c r="J217" s="1"/>
  <c r="X160" i="5"/>
  <c r="J216"/>
  <c r="X216" s="1"/>
  <c r="P158" i="9"/>
  <c r="X144"/>
  <c r="N144" i="19" s="1"/>
  <c r="U144" s="1"/>
  <c r="L35" i="16"/>
  <c r="L68" s="1"/>
  <c r="X35" i="15"/>
  <c r="T35" i="19" s="1"/>
  <c r="U35" s="1"/>
  <c r="L68" i="15"/>
  <c r="P158" i="3"/>
  <c r="X68" i="5"/>
  <c r="P158"/>
  <c r="I217" i="6"/>
  <c r="J20" i="16"/>
  <c r="X20" s="1"/>
  <c r="J93" i="1"/>
  <c r="X102"/>
  <c r="P106" i="16"/>
  <c r="P110"/>
  <c r="P114"/>
  <c r="P118"/>
  <c r="P122"/>
  <c r="P126"/>
  <c r="P130"/>
  <c r="J137"/>
  <c r="X137" s="1"/>
  <c r="J141"/>
  <c r="X141" s="1"/>
  <c r="P148"/>
  <c r="J150"/>
  <c r="X150" s="1"/>
  <c r="J152"/>
  <c r="X152" s="1"/>
  <c r="T157"/>
  <c r="J162"/>
  <c r="X162" s="1"/>
  <c r="J166"/>
  <c r="X166" s="1"/>
  <c r="J170"/>
  <c r="J174"/>
  <c r="J178"/>
  <c r="J182"/>
  <c r="J199"/>
  <c r="X199" s="1"/>
  <c r="J203"/>
  <c r="X203" s="1"/>
  <c r="J209"/>
  <c r="X209" s="1"/>
  <c r="J213"/>
  <c r="X213" s="1"/>
  <c r="X135" i="2"/>
  <c r="G217" i="3"/>
  <c r="M217"/>
  <c r="S217"/>
  <c r="J134" i="4"/>
  <c r="X134" s="1"/>
  <c r="I134" i="19" s="1"/>
  <c r="K217" i="4"/>
  <c r="J93" i="5"/>
  <c r="U217"/>
  <c r="P93" i="6"/>
  <c r="X93" s="1"/>
  <c r="G217"/>
  <c r="J93" i="8"/>
  <c r="P134"/>
  <c r="I217"/>
  <c r="P68" i="9"/>
  <c r="J158" i="6"/>
  <c r="J217" s="1"/>
  <c r="X144"/>
  <c r="F93" i="8"/>
  <c r="X69" i="11"/>
  <c r="P93"/>
  <c r="J158" i="5"/>
  <c r="X43" i="1"/>
  <c r="P72" i="16"/>
  <c r="J76"/>
  <c r="X77" i="1"/>
  <c r="P93"/>
  <c r="J95" i="16"/>
  <c r="J99"/>
  <c r="P108"/>
  <c r="P112"/>
  <c r="P116"/>
  <c r="P120"/>
  <c r="P124"/>
  <c r="P128"/>
  <c r="P132"/>
  <c r="J135"/>
  <c r="J139"/>
  <c r="X139" s="1"/>
  <c r="J158" i="1"/>
  <c r="J160" i="16"/>
  <c r="X160" s="1"/>
  <c r="J164"/>
  <c r="X164" s="1"/>
  <c r="J168"/>
  <c r="J172"/>
  <c r="X172" s="1"/>
  <c r="J176"/>
  <c r="J180"/>
  <c r="J184"/>
  <c r="X185" i="1"/>
  <c r="J197" i="16"/>
  <c r="X197" s="1"/>
  <c r="J201"/>
  <c r="X201" s="1"/>
  <c r="J205"/>
  <c r="X205" s="1"/>
  <c r="J207"/>
  <c r="X207" s="1"/>
  <c r="J211"/>
  <c r="X211" s="1"/>
  <c r="J215"/>
  <c r="X215" s="1"/>
  <c r="X15" i="1"/>
  <c r="X17"/>
  <c r="X19"/>
  <c r="J28" i="16"/>
  <c r="X28" s="1"/>
  <c r="J30"/>
  <c r="X30" s="1"/>
  <c r="J32"/>
  <c r="X32" s="1"/>
  <c r="J34"/>
  <c r="J36"/>
  <c r="X36" s="1"/>
  <c r="J38"/>
  <c r="X38" s="1"/>
  <c r="J40"/>
  <c r="T43"/>
  <c r="P45"/>
  <c r="P47"/>
  <c r="P49"/>
  <c r="P51"/>
  <c r="P53"/>
  <c r="P55"/>
  <c r="P57"/>
  <c r="P59"/>
  <c r="P61"/>
  <c r="P63"/>
  <c r="P65"/>
  <c r="P67"/>
  <c r="J68" i="1"/>
  <c r="P68"/>
  <c r="J70" i="16"/>
  <c r="X70" s="1"/>
  <c r="J72"/>
  <c r="J74"/>
  <c r="X74" s="1"/>
  <c r="X75" i="1"/>
  <c r="P77" i="16"/>
  <c r="X77" s="1"/>
  <c r="J84"/>
  <c r="X84" s="1"/>
  <c r="J86"/>
  <c r="X86" s="1"/>
  <c r="J88"/>
  <c r="X88" s="1"/>
  <c r="J90"/>
  <c r="X90" s="1"/>
  <c r="J92"/>
  <c r="X92" s="1"/>
  <c r="P102"/>
  <c r="X102" s="1"/>
  <c r="P104"/>
  <c r="X104" s="1"/>
  <c r="J106"/>
  <c r="J108"/>
  <c r="J110"/>
  <c r="J112"/>
  <c r="J114"/>
  <c r="J116"/>
  <c r="J118"/>
  <c r="J120"/>
  <c r="J122"/>
  <c r="J124"/>
  <c r="X124" s="1"/>
  <c r="J126"/>
  <c r="J128"/>
  <c r="J130"/>
  <c r="J132"/>
  <c r="L134" i="1"/>
  <c r="L217" s="1"/>
  <c r="X136"/>
  <c r="X140"/>
  <c r="T142" i="16"/>
  <c r="T158" s="1"/>
  <c r="P144"/>
  <c r="P146"/>
  <c r="J148"/>
  <c r="X149" i="1"/>
  <c r="X151"/>
  <c r="P155" i="16"/>
  <c r="P157"/>
  <c r="X159" i="1"/>
  <c r="X161"/>
  <c r="X165"/>
  <c r="X167"/>
  <c r="T185" i="16"/>
  <c r="T216" s="1"/>
  <c r="P187"/>
  <c r="X187" s="1"/>
  <c r="J189"/>
  <c r="J191"/>
  <c r="X191" s="1"/>
  <c r="X194" i="1"/>
  <c r="X196"/>
  <c r="X200"/>
  <c r="X202"/>
  <c r="X206"/>
  <c r="X208"/>
  <c r="X212"/>
  <c r="X214"/>
  <c r="T216"/>
  <c r="X69" i="2"/>
  <c r="P216"/>
  <c r="X6" i="3"/>
  <c r="V217" i="4"/>
  <c r="I217"/>
  <c r="Q217"/>
  <c r="W217"/>
  <c r="X43" i="5"/>
  <c r="X106"/>
  <c r="X118"/>
  <c r="X130"/>
  <c r="W217"/>
  <c r="F217" i="6"/>
  <c r="M217"/>
  <c r="F217" i="7"/>
  <c r="U217"/>
  <c r="P68" i="8"/>
  <c r="O217"/>
  <c r="Q217"/>
  <c r="X134" i="11"/>
  <c r="P134" i="14"/>
  <c r="X134" s="1"/>
  <c r="X40" i="6"/>
  <c r="T68"/>
  <c r="T217" s="1"/>
  <c r="X70" i="7"/>
  <c r="P93"/>
  <c r="P134"/>
  <c r="X95"/>
  <c r="J68" i="8"/>
  <c r="X68" s="1"/>
  <c r="X7"/>
  <c r="J158" i="3"/>
  <c r="J217" s="1"/>
  <c r="P23" i="16"/>
  <c r="X27" i="1"/>
  <c r="X29"/>
  <c r="X31"/>
  <c r="X33"/>
  <c r="X35"/>
  <c r="X37"/>
  <c r="X39"/>
  <c r="P41" i="16"/>
  <c r="P43"/>
  <c r="J45"/>
  <c r="X45" s="1"/>
  <c r="J47"/>
  <c r="X47" s="1"/>
  <c r="J49"/>
  <c r="J51"/>
  <c r="X51" s="1"/>
  <c r="J53"/>
  <c r="X53" s="1"/>
  <c r="J55"/>
  <c r="X55" s="1"/>
  <c r="J57"/>
  <c r="X57" s="1"/>
  <c r="J59"/>
  <c r="X59" s="1"/>
  <c r="J61"/>
  <c r="X61" s="1"/>
  <c r="J63"/>
  <c r="J65"/>
  <c r="X65" s="1"/>
  <c r="J67"/>
  <c r="X67" s="1"/>
  <c r="X69" i="1"/>
  <c r="X71"/>
  <c r="X73"/>
  <c r="T75" i="16"/>
  <c r="T93" s="1"/>
  <c r="J79"/>
  <c r="X85" i="1"/>
  <c r="X87"/>
  <c r="X89"/>
  <c r="X91"/>
  <c r="T93"/>
  <c r="P98" i="16"/>
  <c r="X105" i="1"/>
  <c r="X107"/>
  <c r="X109"/>
  <c r="X111"/>
  <c r="X113"/>
  <c r="X115"/>
  <c r="X117"/>
  <c r="X119"/>
  <c r="X121"/>
  <c r="X123"/>
  <c r="X125"/>
  <c r="X127"/>
  <c r="X129"/>
  <c r="X131"/>
  <c r="X133"/>
  <c r="P136" i="16"/>
  <c r="P138"/>
  <c r="P140"/>
  <c r="X140" s="1"/>
  <c r="P142"/>
  <c r="J144"/>
  <c r="J146"/>
  <c r="X147" i="1"/>
  <c r="P149" i="16"/>
  <c r="X149" s="1"/>
  <c r="P151"/>
  <c r="X151" s="1"/>
  <c r="P153"/>
  <c r="J155"/>
  <c r="J157"/>
  <c r="T158" i="1"/>
  <c r="P159" i="16"/>
  <c r="P161"/>
  <c r="X161" s="1"/>
  <c r="P163"/>
  <c r="P165"/>
  <c r="X165" s="1"/>
  <c r="P167"/>
  <c r="X167" s="1"/>
  <c r="P171"/>
  <c r="X188" i="1"/>
  <c r="X190"/>
  <c r="P196" i="16"/>
  <c r="X196" s="1"/>
  <c r="P198"/>
  <c r="P200"/>
  <c r="X200" s="1"/>
  <c r="P202"/>
  <c r="X202" s="1"/>
  <c r="P204"/>
  <c r="P206"/>
  <c r="X206" s="1"/>
  <c r="P208"/>
  <c r="X208" s="1"/>
  <c r="P210"/>
  <c r="P212"/>
  <c r="X212" s="1"/>
  <c r="P214"/>
  <c r="X214" s="1"/>
  <c r="F217" i="1"/>
  <c r="P158" i="2"/>
  <c r="X158" s="1"/>
  <c r="X160" i="3"/>
  <c r="T68" i="4"/>
  <c r="T217" s="1"/>
  <c r="O217"/>
  <c r="P134" i="5"/>
  <c r="P217" s="1"/>
  <c r="G217"/>
  <c r="X158"/>
  <c r="H217"/>
  <c r="L217" i="6"/>
  <c r="S217"/>
  <c r="X68" i="7"/>
  <c r="L217"/>
  <c r="U217" i="8"/>
  <c r="W217"/>
  <c r="R217" i="9"/>
  <c r="S217" i="15"/>
  <c r="X94" i="6"/>
  <c r="J134"/>
  <c r="X134" s="1"/>
  <c r="P158"/>
  <c r="X158" s="1"/>
  <c r="X136"/>
  <c r="X6" i="7"/>
  <c r="P68"/>
  <c r="J134"/>
  <c r="X134" s="1"/>
  <c r="X103"/>
  <c r="J93" i="4"/>
  <c r="X93" s="1"/>
  <c r="I93" i="19" s="1"/>
  <c r="T217" i="5"/>
  <c r="P11" i="16"/>
  <c r="J7"/>
  <c r="J9"/>
  <c r="X9" s="1"/>
  <c r="J11"/>
  <c r="J13"/>
  <c r="X13" s="1"/>
  <c r="J21"/>
  <c r="X21" s="1"/>
  <c r="J23"/>
  <c r="J25"/>
  <c r="X25" s="1"/>
  <c r="P35"/>
  <c r="J41"/>
  <c r="X44" i="1"/>
  <c r="X46"/>
  <c r="X48"/>
  <c r="X50"/>
  <c r="X52"/>
  <c r="X54"/>
  <c r="X56"/>
  <c r="X58"/>
  <c r="X60"/>
  <c r="X62"/>
  <c r="X64"/>
  <c r="X66"/>
  <c r="P73" i="16"/>
  <c r="X73" s="1"/>
  <c r="X76" i="1"/>
  <c r="X78"/>
  <c r="P85" i="16"/>
  <c r="X85" s="1"/>
  <c r="P87"/>
  <c r="X87" s="1"/>
  <c r="P89"/>
  <c r="X89" s="1"/>
  <c r="P91"/>
  <c r="X91" s="1"/>
  <c r="J94"/>
  <c r="J96"/>
  <c r="X96" s="1"/>
  <c r="J98"/>
  <c r="J100"/>
  <c r="X100" s="1"/>
  <c r="X101" i="1"/>
  <c r="X103"/>
  <c r="P127" i="16"/>
  <c r="X127" s="1"/>
  <c r="P133"/>
  <c r="X133" s="1"/>
  <c r="J134" i="1"/>
  <c r="P134"/>
  <c r="P217" s="1"/>
  <c r="J138" i="16"/>
  <c r="X138" s="1"/>
  <c r="J142"/>
  <c r="X143" i="1"/>
  <c r="X145"/>
  <c r="J153" i="16"/>
  <c r="X154" i="1"/>
  <c r="X156"/>
  <c r="J163" i="16"/>
  <c r="J169"/>
  <c r="X169" s="1"/>
  <c r="J171"/>
  <c r="J173"/>
  <c r="X173" s="1"/>
  <c r="J175"/>
  <c r="X175" s="1"/>
  <c r="J177"/>
  <c r="X177" s="1"/>
  <c r="J179"/>
  <c r="X179" s="1"/>
  <c r="J181"/>
  <c r="X181" s="1"/>
  <c r="J183"/>
  <c r="X183" s="1"/>
  <c r="J185"/>
  <c r="X186" i="1"/>
  <c r="P188" i="16"/>
  <c r="X188" s="1"/>
  <c r="P190"/>
  <c r="X190" s="1"/>
  <c r="J192"/>
  <c r="X192" s="1"/>
  <c r="X194"/>
  <c r="J198"/>
  <c r="J204"/>
  <c r="J210"/>
  <c r="X27" i="4"/>
  <c r="I27" i="19" s="1"/>
  <c r="U27" s="1"/>
  <c r="X89" i="4"/>
  <c r="I89" i="19" s="1"/>
  <c r="U89" s="1"/>
  <c r="P217" i="4"/>
  <c r="U217"/>
  <c r="X75" i="5"/>
  <c r="X77"/>
  <c r="J134"/>
  <c r="X134" s="1"/>
  <c r="X110"/>
  <c r="X122"/>
  <c r="M217"/>
  <c r="N217"/>
  <c r="P216" i="6"/>
  <c r="X216"/>
  <c r="J93" i="7"/>
  <c r="X93" s="1"/>
  <c r="X101"/>
  <c r="X194"/>
  <c r="R217"/>
  <c r="X101" i="8"/>
  <c r="X134"/>
  <c r="X158"/>
  <c r="N217"/>
  <c r="X68" i="9"/>
  <c r="N68" i="19" s="1"/>
  <c r="X76" i="14"/>
  <c r="P93"/>
  <c r="J216" i="9"/>
  <c r="V217"/>
  <c r="X78" i="10"/>
  <c r="T217"/>
  <c r="X75" i="11"/>
  <c r="X142"/>
  <c r="K217"/>
  <c r="Q217"/>
  <c r="W217"/>
  <c r="X72" i="12"/>
  <c r="X111"/>
  <c r="X117"/>
  <c r="X123"/>
  <c r="X129"/>
  <c r="X157" i="13"/>
  <c r="O217"/>
  <c r="J68" i="14"/>
  <c r="X68" s="1"/>
  <c r="X40"/>
  <c r="X147"/>
  <c r="R217"/>
  <c r="K217" i="15"/>
  <c r="R217"/>
  <c r="X94" i="10"/>
  <c r="P134"/>
  <c r="X102"/>
  <c r="J134"/>
  <c r="P158" i="11"/>
  <c r="X135"/>
  <c r="X162" i="15"/>
  <c r="T162" i="19" s="1"/>
  <c r="U162" s="1"/>
  <c r="J216" i="15"/>
  <c r="X6" i="5"/>
  <c r="J216" i="7"/>
  <c r="P68" i="10"/>
  <c r="X75"/>
  <c r="X142"/>
  <c r="L217"/>
  <c r="J68" i="11"/>
  <c r="X68" s="1"/>
  <c r="P216"/>
  <c r="X216" s="1"/>
  <c r="T217" i="12"/>
  <c r="U217" i="13"/>
  <c r="J93" i="14"/>
  <c r="X158"/>
  <c r="J216" i="12"/>
  <c r="X216" s="1"/>
  <c r="X159"/>
  <c r="X69" i="6"/>
  <c r="X135" i="9"/>
  <c r="N135" i="19" s="1"/>
  <c r="J68" i="10"/>
  <c r="X68" s="1"/>
  <c r="J216"/>
  <c r="J217" s="1"/>
  <c r="K217"/>
  <c r="R217"/>
  <c r="J158" i="11"/>
  <c r="X158" s="1"/>
  <c r="X134" i="12"/>
  <c r="L217"/>
  <c r="G217" i="13"/>
  <c r="M217"/>
  <c r="X216"/>
  <c r="V217" i="14"/>
  <c r="J158" i="15"/>
  <c r="X158" s="1"/>
  <c r="T158" i="19" s="1"/>
  <c r="X69" i="10"/>
  <c r="P93"/>
  <c r="X93" s="1"/>
  <c r="P158"/>
  <c r="X143"/>
  <c r="J93" i="11"/>
  <c r="X76"/>
  <c r="X76" i="12"/>
  <c r="J93"/>
  <c r="X93" s="1"/>
  <c r="F217" i="8"/>
  <c r="G217" i="9"/>
  <c r="M217"/>
  <c r="S217"/>
  <c r="F217"/>
  <c r="X42" i="10"/>
  <c r="X157"/>
  <c r="I217"/>
  <c r="Q217"/>
  <c r="W217"/>
  <c r="H217" i="11"/>
  <c r="N217"/>
  <c r="T217"/>
  <c r="J158" i="12"/>
  <c r="X158" s="1"/>
  <c r="K217"/>
  <c r="R217"/>
  <c r="P93" i="13"/>
  <c r="X93" s="1"/>
  <c r="X158"/>
  <c r="L217"/>
  <c r="P217" i="14"/>
  <c r="J93" i="15"/>
  <c r="X93" s="1"/>
  <c r="T93" i="19" s="1"/>
  <c r="G217" i="15"/>
  <c r="X6" i="12"/>
  <c r="P68"/>
  <c r="X68" s="1"/>
  <c r="J216" i="14"/>
  <c r="X216" s="1"/>
  <c r="X159"/>
  <c r="J158" i="10"/>
  <c r="H217"/>
  <c r="O217"/>
  <c r="V217" i="12"/>
  <c r="P134" i="15"/>
  <c r="J134" i="11"/>
  <c r="X135" i="12"/>
  <c r="X148"/>
  <c r="F217"/>
  <c r="T68" i="13"/>
  <c r="T217" s="1"/>
  <c r="X159"/>
  <c r="X135" i="14"/>
  <c r="P7" i="15"/>
  <c r="P7" i="16" s="1"/>
  <c r="X135" i="15"/>
  <c r="T135" i="19" s="1"/>
  <c r="Q217" i="15"/>
  <c r="W217"/>
  <c r="X37" i="16"/>
  <c r="X154"/>
  <c r="O216"/>
  <c r="X69" i="12"/>
  <c r="X101" i="13"/>
  <c r="X147"/>
  <c r="X41" i="14"/>
  <c r="X75"/>
  <c r="F217"/>
  <c r="X39" i="15"/>
  <c r="T39" i="19" s="1"/>
  <c r="U39" s="1"/>
  <c r="X159" i="15"/>
  <c r="T159" i="19" s="1"/>
  <c r="U159" s="1"/>
  <c r="X172" i="15"/>
  <c r="T172" i="19" s="1"/>
  <c r="U172" s="1"/>
  <c r="X195" i="15"/>
  <c r="T195" i="19" s="1"/>
  <c r="U195" s="1"/>
  <c r="V217" i="15"/>
  <c r="X39" i="16"/>
  <c r="X44"/>
  <c r="X69"/>
  <c r="X71"/>
  <c r="L134"/>
  <c r="X156"/>
  <c r="N217"/>
  <c r="I217" i="15"/>
  <c r="U217"/>
  <c r="X15" i="16"/>
  <c r="X17"/>
  <c r="X19"/>
  <c r="X34"/>
  <c r="X46"/>
  <c r="X48"/>
  <c r="X54"/>
  <c r="X56"/>
  <c r="X83"/>
  <c r="X136"/>
  <c r="X193"/>
  <c r="F217" i="10"/>
  <c r="F217" i="13"/>
  <c r="O68" i="15"/>
  <c r="O217" s="1"/>
  <c r="L134"/>
  <c r="P189"/>
  <c r="P216" s="1"/>
  <c r="T216"/>
  <c r="T68" i="16"/>
  <c r="X27"/>
  <c r="X43"/>
  <c r="X58"/>
  <c r="T134"/>
  <c r="X105"/>
  <c r="I217"/>
  <c r="P79"/>
  <c r="T68" i="15"/>
  <c r="X6" i="16"/>
  <c r="R68"/>
  <c r="X29"/>
  <c r="X31"/>
  <c r="X66"/>
  <c r="X107"/>
  <c r="X109"/>
  <c r="X111"/>
  <c r="X113"/>
  <c r="X115"/>
  <c r="X117"/>
  <c r="X119"/>
  <c r="X121"/>
  <c r="X123"/>
  <c r="X125"/>
  <c r="F68"/>
  <c r="F93"/>
  <c r="F158"/>
  <c r="U135" i="19" l="1"/>
  <c r="U134"/>
  <c r="X41" i="16"/>
  <c r="X142"/>
  <c r="X178"/>
  <c r="X146"/>
  <c r="X116"/>
  <c r="U33" i="19"/>
  <c r="U158"/>
  <c r="U93"/>
  <c r="P217" i="9"/>
  <c r="U9" i="19"/>
  <c r="X148" i="16"/>
  <c r="X120"/>
  <c r="X176"/>
  <c r="X23"/>
  <c r="X11"/>
  <c r="X155"/>
  <c r="X126"/>
  <c r="X132"/>
  <c r="X108"/>
  <c r="X72"/>
  <c r="X174"/>
  <c r="X112"/>
  <c r="X144"/>
  <c r="X99"/>
  <c r="X171"/>
  <c r="X210"/>
  <c r="X128"/>
  <c r="X130"/>
  <c r="X106"/>
  <c r="X76"/>
  <c r="X170"/>
  <c r="X198"/>
  <c r="P68"/>
  <c r="X182"/>
  <c r="X134" i="1"/>
  <c r="J217" i="9"/>
  <c r="X217" s="1"/>
  <c r="X93" i="11"/>
  <c r="X93" i="5"/>
  <c r="P217" i="10"/>
  <c r="P217" i="7"/>
  <c r="X75" i="16"/>
  <c r="X189" i="15"/>
  <c r="T189" i="19" s="1"/>
  <c r="U189" s="1"/>
  <c r="H217" i="16"/>
  <c r="X93" i="14"/>
  <c r="P93" i="16"/>
  <c r="X93" i="1"/>
  <c r="X153" i="16"/>
  <c r="L217"/>
  <c r="X35"/>
  <c r="X159"/>
  <c r="X68" i="4"/>
  <c r="I68" i="19" s="1"/>
  <c r="X185" i="16"/>
  <c r="X158" i="9"/>
  <c r="N158" i="19" s="1"/>
  <c r="T217" i="7"/>
  <c r="X158" i="1"/>
  <c r="R217" i="16"/>
  <c r="X68" i="13"/>
  <c r="X118" i="16"/>
  <c r="F217"/>
  <c r="O217"/>
  <c r="X134" i="15"/>
  <c r="T134" i="19" s="1"/>
  <c r="V217" i="16"/>
  <c r="X204"/>
  <c r="J216"/>
  <c r="J134"/>
  <c r="P158"/>
  <c r="X49"/>
  <c r="X40"/>
  <c r="X180"/>
  <c r="X79"/>
  <c r="X98"/>
  <c r="P134"/>
  <c r="X157"/>
  <c r="X63"/>
  <c r="X7"/>
  <c r="X216" i="15"/>
  <c r="T216" i="19" s="1"/>
  <c r="X216" i="9"/>
  <c r="N216" i="19" s="1"/>
  <c r="X217" i="3"/>
  <c r="B4" i="18" s="1"/>
  <c r="C4" s="1"/>
  <c r="X94" i="16"/>
  <c r="X163"/>
  <c r="J217" i="12"/>
  <c r="J217" i="11"/>
  <c r="X217" s="1"/>
  <c r="B12" i="18" s="1"/>
  <c r="C12" s="1"/>
  <c r="L217" i="15"/>
  <c r="P217" i="2"/>
  <c r="X122" i="16"/>
  <c r="X110"/>
  <c r="X184"/>
  <c r="X95"/>
  <c r="J217" i="1"/>
  <c r="X134" i="2"/>
  <c r="T217" i="16"/>
  <c r="P217" i="11"/>
  <c r="P217" i="6"/>
  <c r="J217" i="5"/>
  <c r="X217" s="1"/>
  <c r="B6" i="18" s="1"/>
  <c r="C6" s="1"/>
  <c r="X134" i="3"/>
  <c r="J217" i="7"/>
  <c r="X216"/>
  <c r="F217" i="2"/>
  <c r="X217" s="1"/>
  <c r="B3" i="18" s="1"/>
  <c r="C3" s="1"/>
  <c r="X93" i="2"/>
  <c r="P217" i="12"/>
  <c r="J217" i="15"/>
  <c r="X216" i="10"/>
  <c r="P217" i="13"/>
  <c r="X217" i="6"/>
  <c r="B7" i="18" s="1"/>
  <c r="C7" s="1"/>
  <c r="X114" i="16"/>
  <c r="P189"/>
  <c r="X189" s="1"/>
  <c r="X168"/>
  <c r="J93"/>
  <c r="X68" i="6"/>
  <c r="X158" i="3"/>
  <c r="P68" i="15"/>
  <c r="X68" s="1"/>
  <c r="T68" i="19" s="1"/>
  <c r="X7" i="15"/>
  <c r="T7" i="19" s="1"/>
  <c r="U7" s="1"/>
  <c r="X135" i="16"/>
  <c r="J158"/>
  <c r="T217" i="15"/>
  <c r="X217" i="10"/>
  <c r="B11" i="18" s="1"/>
  <c r="C11" s="1"/>
  <c r="T217" i="1"/>
  <c r="X217" s="1"/>
  <c r="B2" i="18" s="1"/>
  <c r="C2" s="1"/>
  <c r="X93" i="8"/>
  <c r="J68" i="16"/>
  <c r="J217" i="8"/>
  <c r="X217" s="1"/>
  <c r="B9" i="18" s="1"/>
  <c r="C9" s="1"/>
  <c r="J217" i="4"/>
  <c r="X217" s="1"/>
  <c r="X216" i="8"/>
  <c r="P217"/>
  <c r="X216" i="1"/>
  <c r="X216" i="3"/>
  <c r="X217" i="13"/>
  <c r="B14" i="18" s="1"/>
  <c r="C14" s="1"/>
  <c r="J217" i="14"/>
  <c r="X217" s="1"/>
  <c r="B15" i="18" s="1"/>
  <c r="C15" s="1"/>
  <c r="X134" i="10"/>
  <c r="U216" i="19" l="1"/>
  <c r="U68"/>
  <c r="B10" i="18"/>
  <c r="C10" s="1"/>
  <c r="N217" i="19"/>
  <c r="B5" i="18"/>
  <c r="C5" s="1"/>
  <c r="I217" i="19"/>
  <c r="X217" i="12"/>
  <c r="X93" i="16"/>
  <c r="X68"/>
  <c r="P216"/>
  <c r="P217" s="1"/>
  <c r="X217" i="7"/>
  <c r="B8" i="18" s="1"/>
  <c r="C8" s="1"/>
  <c r="P217" i="15"/>
  <c r="X217" s="1"/>
  <c r="J217" i="16"/>
  <c r="X216"/>
  <c r="X158"/>
  <c r="X134"/>
  <c r="B16" i="18" l="1"/>
  <c r="C16" s="1"/>
  <c r="T217" i="19"/>
  <c r="U217" s="1"/>
  <c r="B13" i="18"/>
  <c r="C13" s="1"/>
  <c r="X217" i="16"/>
  <c r="B17" i="18" l="1"/>
  <c r="C17" s="1"/>
</calcChain>
</file>

<file path=xl/comments1.xml><?xml version="1.0" encoding="utf-8"?>
<comments xmlns="http://schemas.openxmlformats.org/spreadsheetml/2006/main">
  <authors>
    <author>tc={bedcd02b-030f-480e-85fb-771f558b6cce}</author>
  </authors>
  <commentList>
    <comment ref="T215" author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LMS
</t>
        </r>
      </text>
    </comment>
  </commentList>
</comments>
</file>

<file path=xl/sharedStrings.xml><?xml version="1.0" encoding="utf-8"?>
<sst xmlns="http://schemas.openxmlformats.org/spreadsheetml/2006/main" count="7631" uniqueCount="1251">
  <si>
    <t>Annexure - 1: Details of Proposal for FY 2026-27</t>
  </si>
  <si>
    <t>THIRUVANANTHAPURAM</t>
  </si>
  <si>
    <t>Amount in Rs. (Lakhs)</t>
  </si>
  <si>
    <t>Pool</t>
  </si>
  <si>
    <t>FMR Code</t>
  </si>
  <si>
    <t>Programme/ Theme</t>
  </si>
  <si>
    <t>S.No.</t>
  </si>
  <si>
    <t xml:space="preserve">
Scheme/ Activity</t>
  </si>
  <si>
    <t>DBT</t>
  </si>
  <si>
    <t>Infrastructure - Civil works (I&amp;C)</t>
  </si>
  <si>
    <t>Equipment (Including Furniture, Excluding Computers)</t>
  </si>
  <si>
    <t>Drugs and supplies</t>
  </si>
  <si>
    <t>Diagnostics (Consumables, PPP, Sample Transport)</t>
  </si>
  <si>
    <t>Others including operating costs (OOC)</t>
  </si>
  <si>
    <t>Surveillance, Research, Review, Evaluation (SRRE)</t>
  </si>
  <si>
    <t>Total Amount</t>
  </si>
  <si>
    <t xml:space="preserve"> Remarks</t>
  </si>
  <si>
    <t>Budget Proposed</t>
  </si>
  <si>
    <t>Old / ongoing work</t>
  </si>
  <si>
    <t>New Work</t>
  </si>
  <si>
    <t xml:space="preserve">Total Budget Proposed 
</t>
  </si>
  <si>
    <t>Budget for Procurement done by States</t>
  </si>
  <si>
    <t>Total</t>
  </si>
  <si>
    <t>FY 2026-27</t>
  </si>
  <si>
    <t>RCH Flexible Pool (including RI, IPPI, NIDDCP)</t>
  </si>
  <si>
    <t>RCH.1</t>
  </si>
  <si>
    <t>Maternal Health</t>
  </si>
  <si>
    <t>Village Health Sanitation &amp; Nutrition Days (VHSNDs)</t>
  </si>
  <si>
    <t>Pregnancy Registration and Ante-Natal Checkups</t>
  </si>
  <si>
    <t>Janani Suraksha Yojana (JSY)</t>
  </si>
  <si>
    <t>Janani Shishu Suraksha Karyakram (JSSK) (excluding transport)</t>
  </si>
  <si>
    <t>Janani Shishu Suraksha Karyakram (JSSK) - transport</t>
  </si>
  <si>
    <t>Pradhan Mantri Surakshit Matritva Abhiyan (PMSMA)</t>
  </si>
  <si>
    <t>Surakshit Matritva Aashwasan (SUMAN)</t>
  </si>
  <si>
    <t>Midwifery</t>
  </si>
  <si>
    <t>Maternal Death Review</t>
  </si>
  <si>
    <t>Comprehensive Abortion Care</t>
  </si>
  <si>
    <t>MCH wings</t>
  </si>
  <si>
    <t>FRUs</t>
  </si>
  <si>
    <t>HDU/ICU - Maternal Health</t>
  </si>
  <si>
    <t>Labour Rooms (LDR + NBCCs)</t>
  </si>
  <si>
    <t>LaQshya</t>
  </si>
  <si>
    <t>Implementation of RCH Portal/ANMOL/MCTS</t>
  </si>
  <si>
    <t>Other MH Components</t>
  </si>
  <si>
    <t>State specific Initiatives and Innovations</t>
  </si>
  <si>
    <t>RCH.2</t>
  </si>
  <si>
    <t>PC &amp; PNDT Act</t>
  </si>
  <si>
    <t>Gender Based Violence &amp; Medico Legal Care For Survivors Victims of Sexual Violence</t>
  </si>
  <si>
    <t>RCH.3</t>
  </si>
  <si>
    <t>Child Health</t>
  </si>
  <si>
    <t>Rashtriya Bal Swasthya Karyakram (RBSK)</t>
  </si>
  <si>
    <t xml:space="preserve">OOC : Rs.21 lakhs- Incentive for RBSK nurse – Rs.1000*100*12 = Rs.12,00,000/-, 
1 vehicles for MHT – Rs.48000*1*12 = Rs. 5,76,000 /- , 107 connections @ Rs.300 per month = 107*300*12 =  3,85,200                       </t>
  </si>
  <si>
    <t>RBSK at Facility Level including District Early Intervention Centers (DEIC)</t>
  </si>
  <si>
    <t>essential and optional equipments available in each DEIC. Proposal amount is different based on the requirements of each unit.</t>
  </si>
  <si>
    <t xml:space="preserve">
</t>
  </si>
  <si>
    <t>Community Based  Care - HBNC &amp; HBYC</t>
  </si>
  <si>
    <t>Facility Based New born Care</t>
  </si>
  <si>
    <t>Child Death Review</t>
  </si>
  <si>
    <t>SAANS</t>
  </si>
  <si>
    <t xml:space="preserve">Paediatric Care </t>
  </si>
  <si>
    <t>Other Child Health Components</t>
  </si>
  <si>
    <t>RCH.4</t>
  </si>
  <si>
    <t>Immunization</t>
  </si>
  <si>
    <t>Immunization including Mission Indradhanush</t>
  </si>
  <si>
    <t>Pulse polio Campaign</t>
  </si>
  <si>
    <t>eVIN Operational Cost</t>
  </si>
  <si>
    <t>RCH.5</t>
  </si>
  <si>
    <t>Adolescent Health</t>
  </si>
  <si>
    <t>Adolescent Friendly Health Centers (AFHCs)</t>
  </si>
  <si>
    <t xml:space="preserve">OOC 
- 1) Operating expenses for AH/RKSK clinics: AH/RKSK centre Rs. 12000/centre * no of AFHCs (TVM-4 AFHC ) - 0.48 L
 2) Mobility support to counsellors for conducting 8 outreach session / month for 12 months @Rs.400/session. (Tvm 4 counsellors) -0.77 L
3) As communication support to 4 GOI AH counsellors @ Rs.250 /month for 12 months. ie 2.82 L ( 4 * 250 *12 ) = Rs 0.12 L
</t>
  </si>
  <si>
    <t>Weekly Iron Folic Acid Supplementation (WIFS)</t>
  </si>
  <si>
    <t>Menstrual Hygiene Scheme (MHS)</t>
  </si>
  <si>
    <t>Peer Education Programme</t>
  </si>
  <si>
    <t>OOC - 
 1)(Community Intervention for AH Services) Incentives for Peer Educators Rs 25/month* 12 months*no of PEs (TVM -400) -Rs1.20 L
 3) Organizing Adolescent Health &amp; Wellness day Rs. 2500* No. of selected blocks*4 AHWD/FY( TVM -4) - Rs 0.40</t>
  </si>
  <si>
    <t>School Health And Wellness Program under Ayushman Bharat</t>
  </si>
  <si>
    <t>Other Adolescent Health Components</t>
  </si>
  <si>
    <t>RCH.6</t>
  </si>
  <si>
    <t>Family Planning</t>
  </si>
  <si>
    <t>Sterilization - Female</t>
  </si>
  <si>
    <t>Sterilization - Male</t>
  </si>
  <si>
    <t>IUCD Insertion (PPIUCD and PAIUCD)</t>
  </si>
  <si>
    <t>ANTARA</t>
  </si>
  <si>
    <t>MPV(Mission Parivar Vikas)</t>
  </si>
  <si>
    <t>Family Planning Indemnity Scheme</t>
  </si>
  <si>
    <t>FPLMIS</t>
  </si>
  <si>
    <t>World Population Day and Vasectomy fortnight</t>
  </si>
  <si>
    <t>Other Family Planning Components</t>
  </si>
  <si>
    <t>RCH.7</t>
  </si>
  <si>
    <t>Nutrition</t>
  </si>
  <si>
    <t>Anaemia Mukt Bharat</t>
  </si>
  <si>
    <t>National Deworming Day</t>
  </si>
  <si>
    <t>Nutritional Rehabilitation Centers (NRC)</t>
  </si>
  <si>
    <t xml:space="preserve">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 
</t>
  </si>
  <si>
    <t>Vitamin A Supplementation</t>
  </si>
  <si>
    <t>Mother's Absolute Affection (MAA)</t>
  </si>
  <si>
    <t>Lactation Management Centers</t>
  </si>
  <si>
    <t xml:space="preserve">Diagnostics - A) Consumables, stationaries &amp; equipment maintenance for 
1 CLMC @ Rs.200000 as recurring cost. 
Rs.200000 x 1 CLMC (SAT) = Rs. 2,00,000/- </t>
  </si>
  <si>
    <t>Intensified Diarrhoea Control Fortnight</t>
  </si>
  <si>
    <t>Eat Right Campaign</t>
  </si>
  <si>
    <t>Other Nutrition Components</t>
  </si>
  <si>
    <t>RCH.8</t>
  </si>
  <si>
    <t>National Iodine Deficiency Disorders Control Programme (NIDDCP)</t>
  </si>
  <si>
    <t>Implementation of NIDDCP</t>
  </si>
  <si>
    <t>RCH Sub Total</t>
  </si>
  <si>
    <t>NDCP Flexi Pool</t>
  </si>
  <si>
    <t>NDCP.1</t>
  </si>
  <si>
    <t>Integrated Disease Surveillance Programme (IDSP)</t>
  </si>
  <si>
    <t>Implementation of IDSP</t>
  </si>
  <si>
    <t>NDCP.2</t>
  </si>
  <si>
    <t>National Vector Borne Disease Control Programme (NVBDCP)</t>
  </si>
  <si>
    <t>Malaria</t>
  </si>
  <si>
    <t>Kala-azar</t>
  </si>
  <si>
    <t>AES/JE</t>
  </si>
  <si>
    <t>Dengue &amp; Chikungunya</t>
  </si>
  <si>
    <t>Lymphatic Filariasis</t>
  </si>
  <si>
    <t>NDCP.3</t>
  </si>
  <si>
    <t>National Leprosy Eradication Programme (NLEP)</t>
  </si>
  <si>
    <t xml:space="preserve"> Case detection and Management</t>
  </si>
  <si>
    <t xml:space="preserve"> DPMR Services: Reconstructive surgeries</t>
  </si>
  <si>
    <t>District Awards</t>
  </si>
  <si>
    <t>Other NLEP Components</t>
  </si>
  <si>
    <t>NDCP.4</t>
  </si>
  <si>
    <t>National Tuberculosis Elimination Programme (NTEP)</t>
  </si>
  <si>
    <t>Drug Sensitive TB (DSTB)</t>
  </si>
  <si>
    <t>Nikshay Poshan Yojana</t>
  </si>
  <si>
    <t>PPP</t>
  </si>
  <si>
    <t>Latent TB Infection (LTBI)</t>
  </si>
  <si>
    <t>Drug Resistant TB(DRTB)</t>
  </si>
  <si>
    <t>TB Harega Desh Jeetega Campaign</t>
  </si>
  <si>
    <t>NDCP.5</t>
  </si>
  <si>
    <t>National Viral Hepatitis Control Programme (NVHCP)</t>
  </si>
  <si>
    <t>Prevention</t>
  </si>
  <si>
    <t>Screening and Testing through facilities</t>
  </si>
  <si>
    <t>Screening and Testing through Outreach Activities</t>
  </si>
  <si>
    <t>Treatment</t>
  </si>
  <si>
    <t>NDCP.6</t>
  </si>
  <si>
    <t>National Rabies Control Programme (NRCP)</t>
  </si>
  <si>
    <t>Implementation of NRCP</t>
  </si>
  <si>
    <t>NDCP.7</t>
  </si>
  <si>
    <t>Programme for Prevention and Control of Leptospirosis (PPCL)</t>
  </si>
  <si>
    <t>Implementation of PPCL</t>
  </si>
  <si>
    <t>NDCP.8</t>
  </si>
  <si>
    <t>Implementation of State specific Initiatives and Innovations</t>
  </si>
  <si>
    <t>NDCP Sub Total</t>
  </si>
  <si>
    <t>NCD Flexi Pool</t>
  </si>
  <si>
    <t>NCD.1</t>
  </si>
  <si>
    <t>National Program for Control of Blindness and Vision Impairment (NPCB+VI)</t>
  </si>
  <si>
    <t>Cataract Surgeries through facilities</t>
  </si>
  <si>
    <t>Cataract Surgeries through NGOs</t>
  </si>
  <si>
    <t>Other Ophthalmic Interventions through facilities</t>
  </si>
  <si>
    <t>Other Ophthalmic Interventions through NGOs</t>
  </si>
  <si>
    <t>Mobile Ophthalmic Units</t>
  </si>
  <si>
    <t>Collection of eye balls by eye banks and eye donation centres</t>
  </si>
  <si>
    <t>Free spectacles to school children</t>
  </si>
  <si>
    <t>Free spectacles to others</t>
  </si>
  <si>
    <t>Grant in Aid for the health institutions, Eye Bank, NGO, Private Practioners</t>
  </si>
  <si>
    <t>Other NPCB+VI components</t>
  </si>
  <si>
    <t>OOC: Rs 1 L
Maintenance, POL &amp; Insurance of existing Mobile Ophthalmic unit @ Rs 1 Lakh each</t>
  </si>
  <si>
    <t>NCD.2</t>
  </si>
  <si>
    <t>National Mental Health Program (NMHP)</t>
  </si>
  <si>
    <t>Implementation of District Mental Health Plan</t>
  </si>
  <si>
    <t>NCD.3</t>
  </si>
  <si>
    <t>National Programme for Health Care for the Elderly (NPHCE)</t>
  </si>
  <si>
    <t>Geriatric Care at DH</t>
  </si>
  <si>
    <t>Geriatric camps</t>
  </si>
  <si>
    <t>Geriatric Care at CHC/SDH</t>
  </si>
  <si>
    <t>Geriatric Care at PHC/ SHC</t>
  </si>
  <si>
    <t xml:space="preserve">Community Based Intervention </t>
  </si>
  <si>
    <t>NCD.4</t>
  </si>
  <si>
    <t>National Tobacco Control Programme (NTCP)</t>
  </si>
  <si>
    <t xml:space="preserve">Implementation of COTPA - 2003 </t>
  </si>
  <si>
    <t xml:space="preserve">Implementation of ToEFI guideline </t>
  </si>
  <si>
    <t>Tobacco Cessation</t>
  </si>
  <si>
    <t>NCD.5</t>
  </si>
  <si>
    <t>National Programme for Prevention and Control of Diabetes, Cardiovascular Disease and Stroke (NPCDCS)</t>
  </si>
  <si>
    <t>NCD Clinics at DH</t>
  </si>
  <si>
    <t>NCD Clinics at CHC/SDH</t>
  </si>
  <si>
    <t>Cardiac Care Unit (CCU/ICU) including STEMI</t>
  </si>
  <si>
    <t>Other NPCDCS Components</t>
  </si>
  <si>
    <t>NCD.6</t>
  </si>
  <si>
    <t>Pradhan Mantri National Dialysis Programme (PMNDP)</t>
  </si>
  <si>
    <t>Haemodialysis Services</t>
  </si>
  <si>
    <t>Peritoneal Dialysis Services</t>
  </si>
  <si>
    <t>NCD.7</t>
  </si>
  <si>
    <t>National Program for Climate Change and Human Health (NPCCHH)</t>
  </si>
  <si>
    <t>Implementation of NPCCHH</t>
  </si>
  <si>
    <t>NCD.8</t>
  </si>
  <si>
    <t>National Oral health programme (NOHP)</t>
  </si>
  <si>
    <t>Implementation at DH</t>
  </si>
  <si>
    <t>Implementation at CHC/SDH</t>
  </si>
  <si>
    <t>Mobile Dental Units/Van</t>
  </si>
  <si>
    <t>NCD.9</t>
  </si>
  <si>
    <t>National Programme on palliative care (NPPC)</t>
  </si>
  <si>
    <t>Implementation of NPPC</t>
  </si>
  <si>
    <t>NCD.10</t>
  </si>
  <si>
    <t>National Programme for Prevention and Control of Fluorosis (NPPCF)</t>
  </si>
  <si>
    <t>Implementation of NPPCF</t>
  </si>
  <si>
    <t>NCD.11</t>
  </si>
  <si>
    <t>National Programme for Prevention and Control of Deafness (NPPCD)</t>
  </si>
  <si>
    <t>Screening of Deafness</t>
  </si>
  <si>
    <t>Management of Deafness</t>
  </si>
  <si>
    <t>State Specific Initiatives</t>
  </si>
  <si>
    <t>NCD.12</t>
  </si>
  <si>
    <t>National programme for Prevention and Management of Burn &amp; Injuries</t>
  </si>
  <si>
    <t>Support for Burn Units</t>
  </si>
  <si>
    <t>Support for Emergency Trauma Care</t>
  </si>
  <si>
    <t>NCD.13</t>
  </si>
  <si>
    <t>State specific Programme Interventions</t>
  </si>
  <si>
    <t>NCD Sub Total</t>
  </si>
  <si>
    <t>Health System Strengthening (HSS) - Urban</t>
  </si>
  <si>
    <t>HSS(U).1</t>
  </si>
  <si>
    <t>Comprehensive Primary Healthcare (CPHC)</t>
  </si>
  <si>
    <t>Development and operations of Health &amp; Wellness Centers - Urban</t>
  </si>
  <si>
    <t>Wellness activities at HWCs- Urban</t>
  </si>
  <si>
    <t>Teleconsultation facilities at HWCs-Urban</t>
  </si>
  <si>
    <t>HSS(U).2</t>
  </si>
  <si>
    <t>Community Engagement</t>
  </si>
  <si>
    <t>ASHA (including ASHA Certification and ASHA benefit package)</t>
  </si>
  <si>
    <t>MAS</t>
  </si>
  <si>
    <t>JAS</t>
  </si>
  <si>
    <t>RKS</t>
  </si>
  <si>
    <t>Outreach activities</t>
  </si>
  <si>
    <t>Mobility support for outreach immunisation @ Rs.2500/- per month for 102 UPHCs and 2 UCHCs (31.2)</t>
  </si>
  <si>
    <t>Mapping of slums and vulnerable population</t>
  </si>
  <si>
    <t>Other Community Engagement Components</t>
  </si>
  <si>
    <t>HSS(U).3</t>
  </si>
  <si>
    <t>Public Health Institutions as per IPHS norms</t>
  </si>
  <si>
    <t>Urban PHCs</t>
  </si>
  <si>
    <t>Urban CHCs and Maternity Homes</t>
  </si>
  <si>
    <t>HSS(U).4</t>
  </si>
  <si>
    <t>Quality Assurance</t>
  </si>
  <si>
    <t>Quality Assurance Implementation &amp; Mera Aspataal</t>
  </si>
  <si>
    <t>Kayakalp</t>
  </si>
  <si>
    <t>Swacch Swasth Sarvatra</t>
  </si>
  <si>
    <t>HSS(U).5</t>
  </si>
  <si>
    <t>HRH</t>
  </si>
  <si>
    <t>Remuneration for all NHM HR</t>
  </si>
  <si>
    <t>Incentives(Allowance, Incentives, staff welfare fund)</t>
  </si>
  <si>
    <t>Incentives under CPHC</t>
  </si>
  <si>
    <t>Development and operations of Health &amp; Wellness Centers - Rural</t>
  </si>
  <si>
    <t>HSS(U).6</t>
  </si>
  <si>
    <t>Technical Assistance</t>
  </si>
  <si>
    <t xml:space="preserve">Planning and Program Management </t>
  </si>
  <si>
    <t>HSS(U).7</t>
  </si>
  <si>
    <t>Access</t>
  </si>
  <si>
    <t>HSS(U).8</t>
  </si>
  <si>
    <t>Innovation</t>
  </si>
  <si>
    <t>State specific Programme Innovations and Interventions</t>
  </si>
  <si>
    <t>HSS(U).9</t>
  </si>
  <si>
    <t>Untied Grants</t>
  </si>
  <si>
    <t>Untied Fund</t>
  </si>
  <si>
    <t>NUHM Sub Total</t>
  </si>
  <si>
    <t>Health System Strengthening (HSS) Rural</t>
  </si>
  <si>
    <t>HSS.1</t>
  </si>
  <si>
    <t>Wellness activities at HWCs- Rural</t>
  </si>
  <si>
    <t>Teleconsultation facilities at HWCs-Rural</t>
  </si>
  <si>
    <t>CHO Mentoring</t>
  </si>
  <si>
    <t>HSS.2</t>
  </si>
  <si>
    <t>Blood Services &amp; Disorders</t>
  </si>
  <si>
    <t>Screening for Blood Disorders</t>
  </si>
  <si>
    <t>Support for Blood Transfusion</t>
  </si>
  <si>
    <t xml:space="preserve">Blood Bank/BCSU/BSU/Thalassemia Day Care Centre </t>
  </si>
  <si>
    <t>Blood collection and Transport Vans</t>
  </si>
  <si>
    <t>Other  Blood Services &amp; Disorders Components</t>
  </si>
  <si>
    <t>HSS.3</t>
  </si>
  <si>
    <t>VHSNC</t>
  </si>
  <si>
    <t>Other Community Engagements Components</t>
  </si>
  <si>
    <t>HSS.4</t>
  </si>
  <si>
    <t xml:space="preserve">Public Health Institutions as per IPHS norms 
</t>
  </si>
  <si>
    <t>District Hospitals</t>
  </si>
  <si>
    <t>Sub-District Hospitals</t>
  </si>
  <si>
    <t>Community Health Centers</t>
  </si>
  <si>
    <t>Primary Health Centers</t>
  </si>
  <si>
    <t>Sub-Health Centers</t>
  </si>
  <si>
    <t>Other Infrastructure/Civil works/expansion etc.</t>
  </si>
  <si>
    <t>Renovation/Repair/Upgradation of facilities for IPHS/NQAS/MUSQAN/SUMAN Compliant</t>
  </si>
  <si>
    <t>HSS.5</t>
  </si>
  <si>
    <t>Referral Transport</t>
  </si>
  <si>
    <t>Advance Life Saving Ambulances</t>
  </si>
  <si>
    <t>Basic Life Saving Ambulances</t>
  </si>
  <si>
    <t>Patient Transport Vehicle</t>
  </si>
  <si>
    <t>Other Ambulances</t>
  </si>
  <si>
    <t>HSS.6</t>
  </si>
  <si>
    <t>HSS.7</t>
  </si>
  <si>
    <t>Other Initiatives to improve access</t>
  </si>
  <si>
    <t>Comprehensive Grievance Redressal Mechanism</t>
  </si>
  <si>
    <t>Free Drugs Services Initiative</t>
  </si>
  <si>
    <t>Free Diagnostics Services Initiative</t>
  </si>
  <si>
    <t>Mobile Medical Units</t>
  </si>
  <si>
    <t>State specific Programme Interventions and Innovations</t>
  </si>
  <si>
    <t>HSS.8</t>
  </si>
  <si>
    <t>Inventory management</t>
  </si>
  <si>
    <t>Biomedical Equipment Management System and AERB</t>
  </si>
  <si>
    <t>HSS.9</t>
  </si>
  <si>
    <t>Remuneration for CHOs</t>
  </si>
  <si>
    <t>Costs for HR Recruitment and Outsourcing</t>
  </si>
  <si>
    <t>Human Resource Information Systems (HRIS)</t>
  </si>
  <si>
    <t>HSS.10</t>
  </si>
  <si>
    <t>Enhancing HR</t>
  </si>
  <si>
    <t>DNB/CPS courses for Medical doctors</t>
  </si>
  <si>
    <t>Training Institutes and Skill Labs</t>
  </si>
  <si>
    <t>HSS.11</t>
  </si>
  <si>
    <t>SHSRC / ILC (Innovation &amp; Learning Centre)</t>
  </si>
  <si>
    <t>HSS.12</t>
  </si>
  <si>
    <t>IT interventions and systems</t>
  </si>
  <si>
    <t>Health Management Information System (HMIS)</t>
  </si>
  <si>
    <t>Implementation of DVDMS</t>
  </si>
  <si>
    <t>eSanjeevani (OPD+HWC)</t>
  </si>
  <si>
    <t>HSS.13</t>
  </si>
  <si>
    <t>HSS.14</t>
  </si>
  <si>
    <t>HSS.15</t>
  </si>
  <si>
    <t>Snakebite envenoming</t>
  </si>
  <si>
    <t>Snake bite</t>
  </si>
  <si>
    <t>HSS.16</t>
  </si>
  <si>
    <t>Capacity building incl. training</t>
  </si>
  <si>
    <t>Capacity building incl. training (Incl. RCH, NDCP, NCD, HSS-Urban, HSS-Rural)*</t>
  </si>
  <si>
    <t>HSS.17</t>
  </si>
  <si>
    <t>ASHA Incentives</t>
  </si>
  <si>
    <t>ASHA Incentives (Incl. RCH, NDCP, NCD, HSS-Urban, HSS-Rural)*</t>
  </si>
  <si>
    <t>HSS.18</t>
  </si>
  <si>
    <t>IT Interventions and Systems</t>
  </si>
  <si>
    <t>IT interventions (Incl. RCH, NDCP, NCD, HSS-Urban, HSS-Rural - IT software, Laptops etc. for service delivery)*</t>
  </si>
  <si>
    <t>HSS.19</t>
  </si>
  <si>
    <t>IEC &amp; Printing</t>
  </si>
  <si>
    <t>IEC &amp; Printing (Incl. RCH, NDCP, NCD, HSS-Urban, HSS-Rural)*</t>
  </si>
  <si>
    <t>Details given in IEC/BCC Annexure for the FY 26-27</t>
  </si>
  <si>
    <t>HSS.20</t>
  </si>
  <si>
    <t>PSA Plants (funded under PM-CARES)</t>
  </si>
  <si>
    <t>CAMC</t>
  </si>
  <si>
    <t>HSS.21</t>
  </si>
  <si>
    <t>State-specific Initiatives and Innovations*</t>
  </si>
  <si>
    <t>HSS Sub Total</t>
  </si>
  <si>
    <t>GRAND TOTAL</t>
  </si>
  <si>
    <t>KOLLAM</t>
  </si>
  <si>
    <t xml:space="preserve"> OOC :-   1. Mobility support for the RBSK Mobile health team  - Incentive for RBSK nurse – Rs.1000*85*12 = Rs.10,20,000/- and 1 vehicles for MHT – Rs.48000*1*12 = Rs. 5,76,000/-, 2. CUG connection -  91 connections @ Rs.300 per month =   3,27,600      </t>
  </si>
  <si>
    <t xml:space="preserve">OOC 
- 1) Operating expenses for AH/RKSK clinics: AH/RKSK centre Rs. 12000/centre * no of AFHCs (KLM-5 AFHC ) - 0.60 L
 2) Mobility support to counsellors for conducting 8 outreach session / month for 12 months @Rs.400/session. (Tvm 4 counsellors) - .96 L
3) As communication support to 4 GOI AH counsellors @ Rs.250 /month for 12 months. ie 0.15 L ( 5 * 250 *12 ) 
</t>
  </si>
  <si>
    <t>"OOC - 1) Community Intervention for AH Services) Incentives for Peer Educators Rs 25/month* 12 months*no of PEs (KLM -400) -Rs 1.20 L
 3) Organizing Adolescent Health &amp; Wellness day Rs. 2500* No. of selected blocks*4 AHWD/FY( KLM-5) - Rs 0.50"</t>
  </si>
  <si>
    <t>1. BCC/IEC:- Rs 1 Lakh 
 IEC Board regarding DISHA in major hospitals and in public places ( Civil Station, Railway Station, Major bus stand etc) , Theatre ad , Notice Printing, Local cable network ad , printing in OP ticket etc 
 2. Training for Health staff regarding DISHA -Rs 0.50 Lakh 
 For training of Superintendent / MOs (i/c) , PROs, JPHN , HI /HS etc of each districts.
  Rs 25000 for one batch with 80 - 100 participants X 2 Batch (includes food, stationery, other miscellaneous expenses)</t>
  </si>
  <si>
    <t>PATHANAMTHITTA</t>
  </si>
  <si>
    <t xml:space="preserve">
</t>
  </si>
  <si>
    <t xml:space="preserve">OOC :-   1. Mobility support for the RBSK Mobile health team  - Incentive for RBSK nurse – Rs.1000*57*12 = Rs.6,84,000/- and 1 vehicles for MHT – Rs.48000*1*12 = Rs. 5,76,000 /-
, 2. CUG connection -  61 connections @ Rs.300 per month =   2,19,600                                                                                                                                                                                                                                                                            </t>
  </si>
  <si>
    <t xml:space="preserve">OOC 
- 1) Operating expenses for AH/RKSK clinics: AH/RKSK centre Rs. 12000/centre * no of AFHCs (PTA-10 AFHC ) - 1.20 L
 2) Mobility support to counsellors for conducting 8 outreach session / month for 12 months @Rs.400/session. (PTA 10 counsellors) - 1.92 L
3) As communication support to 7 GOI AH counsellors @ Rs.250 /month for 12 months. ie 0.21 L ( 7 * 250 *12 ) 
</t>
  </si>
  <si>
    <t>OOC - 1) Community Intervention for AH Services) Incentives for Peer Educators Rs 25/month* 12 months*no of PEs (PTA -800) -2.40 L
 3) Organizing Adolescent Health &amp; Wellness day Rs. 2500* No. of selected blocks*4 AHWD/FY( PTA -10) - 1.00</t>
  </si>
  <si>
    <t xml:space="preserve">Training :  Rs. 1 Lakhs per training Medical Officers, Staff Nurse, ASHA ANM &amp; other Health care workers. 
IEC &amp; Printing Rs.1.50 lakhs
Planning &amp; M &amp; E - Rs.05 Lakhs
Supervision and Monitoring activities </t>
  </si>
  <si>
    <t>a)Training for Medical Officers/Field Staff/ ASHAs and sensitisation to AnganWadi/Kudumbasree workers - Rs.50000/-
b)	IEC Activities - Rs.1 lakh -IEC activities focusing on Leptospirosis – risk reduction, Doxycycline prophylaxis, health seeking behavior and intersectoral coordination.</t>
  </si>
  <si>
    <t>1. BCC/IEC:- Rs 1 Lakh 
IEC Board regarding DISHA in major hospitals and in public places ( Civil Station, Railway Station, Major bus stand etc) , Theatre ad , Notice Printing, Local cable network ad , printing in OP ticket etc 
2. Training for Health staff regarding DISHA -Rs 0.50 Lakh 
For training of Superintendent / MOs (i/c) , PROs,  JPHN , HI /HS etc of each districts.
 Rs 25000 for one batch with 80 - 100 participants X 2 Batch (includes food, stationery, other miscellaneous expenses)</t>
  </si>
  <si>
    <t>2) OOC- Innovation to conduct multispeciality comprehensive geriatric assessment camp Rs. 0.10/ Old Age Homes X 43 camps</t>
  </si>
  <si>
    <t>Revalidation</t>
  </si>
  <si>
    <t>ALAPPUZHA</t>
  </si>
  <si>
    <t>Remarks</t>
  </si>
  <si>
    <t xml:space="preserve"> </t>
  </si>
  <si>
    <t xml:space="preserve">
 OOC - 1) Operating expenses for AH/RKSK clinics: AH/RKSK centre Rs. 12000/centre * no of AFHCs (ALP-7 AFHC ) - 0.84 L
 2) Mobility support to counsellors for conducting 8 outreach session / month for 12 months @Rs.400/session. (ALP 7 counsellors) - 1.34 L
3) As communication support to 94 GOI AH counsellors @ Rs.250 /month for 12 months. ie 2.82 L ( 7 * 250 *12 ) - .15 L
</t>
  </si>
  <si>
    <t xml:space="preserve">
 OOC -1) Community Intervention for AH Services) Incentives for Peer Educators Rs 25/month* 12 months*no of PEs (ALP -870) -2.61 L
 2) Organizing Adolescent Health &amp; Wellness day Rs. 2500* No. of selected blocks*4 AHWD/FY( ALP -7) - 0.70
</t>
  </si>
  <si>
    <t>1. Tab. Primaquine 2.5/7.5 (No.)@0.03L
2. Injection Quinine &amp; Injection Artisunate, Artimethrine@Rs.0.06l
3. ACT Adult Blister Packets  (Artesunate+SP) and ACT-AL@0.17L</t>
  </si>
  <si>
    <t>Capacity building: Rs 0.96 L 
 1. Approved Rs 0. 595 L for one day Training for CDPO, Anganwadi Supervisors, PHN &amp; MPW Supervisors (Level 5) for 2 batches @ Rs 29750/ batch. No of participants per batch: 30
 2. Approved Rs 0.365 L for half day training Anganwadi workers (Level 6) for 1 Batches @ Rs 36500/batch. No of participants per batch: 60</t>
  </si>
  <si>
    <t>Approved Rs 1.5 Lakhs per district for the Telecast of awareness videos and audio messages through television, FM channels, Theatre Campaign, printing of Hoardings etc. Observance of world hearing day and deafness day. Special awareness programmes at tribal and coastal areas.</t>
  </si>
  <si>
    <t>Capacity Building Swacch Swasth Sarvatra(SSS) – Total 1 L for trainings related to water sanitation and Hygiene (WASH) Training for infection control,Sanitation and Hygiene,Waste Management System.</t>
  </si>
  <si>
    <t>1 Rental boat @ Rs 65000 per month</t>
  </si>
  <si>
    <t>KOTTAYAM</t>
  </si>
  <si>
    <t xml:space="preserve">OOC 
- 1) Operating expenses for AH/RKSK clinics: AH/RKSK centre Rs. 12000/centre * no of AFHCs (KTM-4 AFHC ) - .48 L
 2) Mobility support to counsellors for conducting 8 outreach session / month for 12 months @Rs.400/session. (KTM 4 counsellors) - 0.77 L
3) As communication support to 4 GOI AH counsellors @ Rs.250 /month for 12 months. ie 0.12 L ( 4 * 250 *12 ) 
</t>
  </si>
  <si>
    <t>OOC - 1)(Community Intervention for AH Services) Incentives for Peer Educators Rs 25/month* 12 months*no of PEs (KTM -400) -Rs 1.20 L
 2) Organizing Adolescent Health &amp; Wellness day Rs. 2500* No. of selected blocks*4 AHWD/FY( TVM -4) - Rs 0.40</t>
  </si>
  <si>
    <t xml:space="preserve">Diagnostics - A) Consumables, stationaries &amp; equipment maintenance for 
1 CLMC @ Rs.200000 as recurring cost. 
Rs.200000 x 1 CLMC  = Rs. 2,00,000/- </t>
  </si>
  <si>
    <t>1. Tab. Primaquine 2.5/7.5 (No.)@0.03L
2. Injection Quinine &amp; Injection Artisunate, Artimethrine@Rs.0.12l
3. ACT Adult Blister Packets  (Artesunate+SP) and ACT-AL@0.14L</t>
  </si>
  <si>
    <t>1. Special anti-malarial interventions for high risk groups, for tribal population, for hard to reach areas to control and prevent resurgence of Malaria cases @ .0.2L
2. Operational cost for IRS Rs.0.7L</t>
  </si>
  <si>
    <t xml:space="preserve">"Blood bank/ Blood storage/ Day care center for hemoglobinopathies.- Rs. 2.00   lakhs        
             Operational expenses  HTC and DDCC @ 100000. Total Rs. 2 lakhs.   </t>
  </si>
  <si>
    <t>IDUKKI</t>
  </si>
  <si>
    <t xml:space="preserve">OOC :- 1.   Mobility support for RBSK Mobile health team - Incentive for RBSK nurse – Rs.1000*55*12 = Rs.6,60,000/- and 1 vehicles for MHT – Rs.48000*2*12 = Rs. 11,52,000 /- , 2. 58 connections @ Rs.300 per month = 58*300*12 =  2,08,800.                                                                                                                                                                                                                                                     </t>
  </si>
  <si>
    <t xml:space="preserve">OOC 
- 1) Operating expenses for AH/RKSK clinics: AH/RKSK centre Rs. 12000/centre * no of AFHCs (IDK-8 AFHC ) - 0.96 L
 2) Mobility support to counsellors for conducting 8 outreach session / month for 12 months @Rs.400/session. (IDK 8 counsellors) - 1.54 L
3) As communication support to 8 GOI AH counsellors @ Rs.250 /month for 12 months. ie 0.24 L ( 8 * 250 *12 ) 
</t>
  </si>
  <si>
    <t>OOC - 1) (Community Intervention for AH Services) Incentives for Peer Educators Rs 25/month* 12 months*no of PEs (IDK -670) -Rs 2.01 L
 2) Organizing Adolescent Health &amp; Wellness day Rs. 2500* No. of selected blocks*4 AHWD/FY( IDK-8) - Rs 0.80</t>
  </si>
  <si>
    <t>VPD Surveillance Rs. 0.5L</t>
  </si>
  <si>
    <t>ERNAKULAM</t>
  </si>
  <si>
    <t xml:space="preserve">OOC 
- 1) Operating expenses for AH/RKSK clinics: AH/RKSK centre Rs. 12000/centre * no of AFHCs (EKM-05 AFHC ) - 0.60 L
 2) Mobility support to counsellors for conducting 8 outreach session / month for 12 months @Rs.400/session. (EKM 5 counsellors) - 0.96 L
3) As communication support to 5 GOI AH counsellors @ Rs.250 /month for 12 months. ie 0.15 L ( 5 * 250 *12 ) 
</t>
  </si>
  <si>
    <t>"OOC - 1) (Community Intervention for AH Services) Incentives for Peer Educators Rs 25/month* 12 months*no of PEs (EKM -400) -Rs 1.20 L
 3) Organizing Adolescent Health &amp; Wellness day Rs. 2500* No. of selected blocks*4 AHWD/FY( EKM-5) - Rs 0.50"</t>
  </si>
  <si>
    <t xml:space="preserve">Diagnostics - A) 
1 LMU @ 105000 as recurring cost. Rs105000 x 1 = Rs. 105000/- 
</t>
  </si>
  <si>
    <t>Others including operating costs(OOC) Rs. 1 Lakhs - Rs: 0.5 Lakhs each for TCs  (Govt Medical College Kottayam and General Hospital Kottayam )  - Meeting Costs/Office expenses/Contingency/Management of Hep A &amp; E as Cash Grant</t>
  </si>
  <si>
    <t>THRISSUR</t>
  </si>
  <si>
    <t xml:space="preserve">OOC - 1) Operating expenses for AH/RKSK clinics: AH/RKSK centre Rs. 12000/centre * no of AFHCs (TSR-5 AFHC ) - 0.60 L
 2) Mobility support to counsellors for conducting 8 outreach session / month for 12 months @Rs.400/session. (TSR-5 counsellors) - 0.96 L
3) As communication support to 94 GOI AH counsellors @ Rs.250 /month for 12 months. ie 2.82 L ( 5 * 250 *12 ) - .15 L
</t>
  </si>
  <si>
    <t xml:space="preserve">Diagnostics - A) Consumables, stationaries &amp; equipment maintenance for 
1 CLMC @ Rs.200000 as recurring cost. 
Rs.200000 x 1 CLMC = Rs. 2,00,000/- </t>
  </si>
  <si>
    <t>GMCH Rs. 1L
VPD Surveillance Rs.0.5L</t>
  </si>
  <si>
    <t xml:space="preserve">Supervision and Monitoring activities "
</t>
  </si>
  <si>
    <t xml:space="preserve">Incentive for TG Link Workers -Incentive for TG Link Workers @ Rs. 5000 per month @ </t>
  </si>
  <si>
    <t>142.29 included in revalidation sheet</t>
  </si>
  <si>
    <t>273.53 included in revalidation sheet</t>
  </si>
  <si>
    <t>PALAKKAD</t>
  </si>
  <si>
    <t xml:space="preserve"> OOC :- 1. Mobility support for RBSK Mobile health teamIncentive for RBSK nurse – Rs.1000*114*12 = Rs.13,68,000/- and 2 vehicles for MHT – Rs.48000*2*12 = Rs. 11,52,000 /- , 118 connections @ Rs.300 per month = 118*300*12 = 4,24,800. </t>
  </si>
  <si>
    <t xml:space="preserve">1)Operating expenses for AH/RKSK clinics: AH/RKSK centre Rs. 12000/centre * no of AFHCs (PKD-15 AFHC ) - 1.80 L 
2) Mobility support to counsellors for conducting 8 outreach session / month for 12 months @Rs.400/session. (PKD-15 counsellors) - 2.88 L 
3) As communication support to 94 GOI AH counsellors @ Rs.250 /month for 12 months. ie .42 L ( 14 * 250 *12 ) - .42 L 
</t>
  </si>
  <si>
    <t>GMCH Rs. 1L
VPD Surveillance Rs. 0.5L</t>
  </si>
  <si>
    <t>Details in Annexure PM</t>
  </si>
  <si>
    <t>MALAPPURAM</t>
  </si>
  <si>
    <t xml:space="preserve">
Scheme/ Activityas </t>
  </si>
  <si>
    <t xml:space="preserve">Operating expenses for AH/RKSK clinics: AH/RKSK centre Rs. 12000/centre * no of AFHCs (MLPM-15 AFHC ) - 1.80 L2) Mobility support to counsellors for conducting 8 outreach session / month for 12 months @Rs.400/session. (MLPM-15 counsellors) - 2.88 L
3) As communication support to 94 GOI AH counsellors @ Rs.250 /month for 12 months. ie 2.82 L ( 13 * 250 *12 ) - .39 L
</t>
  </si>
  <si>
    <t>OOC: Rs 2 L
Maintenance, POL &amp; Insurance of existing Mobile Ophthalmic unit @ Rs 1 Lakh each</t>
  </si>
  <si>
    <t>KOZHIKODE</t>
  </si>
  <si>
    <t>OOC :- 1. Mobility support for RBSK Mobile health team-
Incentive for RBSK nurse – Rs.1000*95*12 = Rs.11,40,000/- and
1 vehicles for MHT – Rs.48000*1*12 = Rs. 5,76,000 /- , 101
connections @ Rs.300 per month = 101*300*12 = 3,63,600</t>
  </si>
  <si>
    <t xml:space="preserve">OOC 
- 1) Operating expenses for AH/RKSK clinics: AH/RKSK centre Rs. 12000/centre * no of AFHCs (KKD-05 AFHC ) - 0.60 L
 2) Mobility support to counsellors for conducting 8 outreach session / month for 12 months @Rs.400/session. (KKD 5 counsellors) - 0.96 L
3) As communication support to 5 GOI AH counsellors @ Rs.250 /month for 12 months. ie 0.15 L ( 5 * 250 *12 ) 
</t>
  </si>
  <si>
    <t>..</t>
  </si>
  <si>
    <t xml:space="preserve">Diagnostics - A) Consumables, stationaries &amp; equipment maintenance for 
1 CLMC @ Rs.200000 as recurring cost. 
Rs.200000 x 1 CLMC  = Rs. 2,00,000/- 
1 LMU @ 105000 as recurring cost. Rs105000 x 1 = Rs. 105000/- </t>
  </si>
  <si>
    <t>WAYANAD</t>
  </si>
  <si>
    <t>OOC :- 1. Mobility support for RBSK Mobile health team-
Incentive for RBSK nurse – Rs.1000*40*12 = Rs.4,80,000/- and
1 vehicles for MHT – Rs.48000*2*12 = Rs. 11,52,000 /- , 44
connections @ Rs.300 per month = 44*300*12 = 1,58,400</t>
  </si>
  <si>
    <t xml:space="preserve">OOC 
- 1) Operating expenses for AH/RKSK clinics: AH/RKSK centre Rs. 12000/centre * no of AFHCs (WYD-05 AFHC ) - 0.60 L
 2) Mobility support to counsellors for conducting 8 outreach session / month for 12 months @Rs.400/session. (WYD-5 counsellors) - 0.96 L
3) As communication support to 5 GOI AH counsellors @ Rs.250 /month for 12 months. ie 0.15 L ( 5 * 250 *12 ) 
</t>
  </si>
  <si>
    <t xml:space="preserve">
VPD Surveillance Rs. 0.5L</t>
  </si>
  <si>
    <t>KANNUR</t>
  </si>
  <si>
    <t>Diet - Rs. 42.7 lakhs @ Rs 100 for 4867ND for 3 days(4867*100*3)  and 4011 C sections for 7 days (4011*100*7), .Blood Transfusion - Rs. 2.7lakhs @ Rs 300/PW for blood transfusion of 10% of total deliveries in govt.health facilities (10% of 8878= 888)</t>
  </si>
  <si>
    <t>1) Operating expenses for AH/RKSK clinics: AH/RKSK centre Rs. 12000/centre * no of AFHCs (KNR-12 AFHC ) - 1.44 L  2) Mobility support to counsellors for conducting 8 outreach session / month for 12 months @Rs.400/session. (KNR 5 counsellors) - 1.92 L, 3) As communication support to 94 GOI AH counsellors @ Rs.250 /month for 12 months. ie 2.82 L ( 5 * 250 *12 ) - .15 L, 4) Bi-annual district level convergence workshop under RKSK - Rs 5000/batch ie 5000*2 = Rs 0.100 L</t>
  </si>
  <si>
    <t xml:space="preserve">OOC 
- 1) Operating expenses for AH/RKSK clinics: AH/RKSK centre Rs. 12000/centre * no of AFHCs (KNR-12 AFHC ) - 1.44 L
 2) Mobility support to counsellors for conducting 8 outreach session / month for 12 months @Rs.400/session. (KNR 12 counsellors) - 2.30 L
3) As communication support to 05 GOI AH counsellors @ Rs.250 /month for 12 months. ie 0.15 L ( 5 * 250 *12 ) 
</t>
  </si>
  <si>
    <t>MCR Chappals, Self care kit</t>
  </si>
  <si>
    <t>Kayakalp Assessments 1L , Rs.10000 for EQAS</t>
  </si>
  <si>
    <t>KASARGOD</t>
  </si>
  <si>
    <t xml:space="preserve">OOC 
- 1) Operating expenses for AH/RKSK clinics: AH/RKSK centre Rs. 12000/centre * no of AFHCs (KKD-05 AFHC ) - 1.08 L
 2) Mobility support to counsellors for conducting 8 outreach session / month for 12 months @Rs.400/session. (KSD 9 counsellors) - 1.73 L
3) As communication support to 9 GOI AH counsellors @ Rs.250 /month for 12 months. ie 0.27 L ( 9 * 250 *12 ) 
</t>
  </si>
  <si>
    <t>STATE OFFICE</t>
  </si>
  <si>
    <t>Calcium tablet –For 322107 PW –57979260
 tablet @ Rs 0.42 &amp; for 322107 Lactating Women 57979260
 tablet @ Rs 0.42</t>
  </si>
  <si>
    <t xml:space="preserve">Equipment for new W&amp; C Block in the Selected Hospital in Wayanad district(  Aspiration district &amp; Tribal area), </t>
  </si>
  <si>
    <t xml:space="preserve">SAANS Campaign Launch-World Pneumonia Day- Global Hand wash Day 
Mass Media/ Mid Media Activities @ Rs. 3.35 L 
•        Radio public service announcements/ Jingles @ Rs. 2 L
•        Posters and leaflets in hospitals, schools, and clinics for World Pneumonia Day Observation @ Rs. 1 L
•        Designing of Billboards near hospitals and public places @ Rs. 0.15 L
•        Designing of Banners during health awareness campaigns @  Rs. 0.10 L
•        Designing of Posters for display at bus stands and markets  @ Rs. 0.10 L
New Media Activities @ Rs. 0.5 L
•        Social media posts, videos, and infographics production in vernacular in connection with clinics for World Pneumonia Day Observation @ Rs. 50 L
•        Awareness hashtags: #SAANS #StopPneumonia &amp; safe hand wash challanges
Total 3.85
</t>
  </si>
  <si>
    <t>Equipment for Paediatic Ward</t>
  </si>
  <si>
    <t xml:space="preserve">Proposed 36 pulse oximeter for delivery points (CNBS – comprehensive newborn screening programme) -  G H Adoor, District Hospital Kozhencherry, General Hosp Pathanamthitta, Ranni TH, THQH Tiruvalla, GMCH, Konni, Medical College Alappuzha, District Hospital Chengannur, THQH Cherthala, G H Kottayam, General Hospital Pala, THQH Vaikom, DH Idukki, THQH Kodungallur, THQH Chalakudy, THQH Chavakkad, DH Wadakkanchery, THQH Alathur, GH Manjeri, THQH Malappuram, DH Nilamboor, DH Perinthalmanna, DH Tirur, THQH Thiruurangadi, IMCH Calicut, W and C Hospital Calicut, TH Kuttiyady, DH Vatakara, THQH Koyilandy, GH Kalpetta, DH Kannur, THQH Payyannur, THQH Taliparamba, THQH Peravoor, GH Thalassery, DH Kanhangad at unit cost of Rs. 28,768/-
Proposed amount 36 * 28768 = Rs.10,35,649/-
Proposed for 16 OAE machine for delivery points (CNBS – comprehensive newborn screening programme - General Hosp Pathanamthitta, GMCH Konni, THQH Haripad,  General Hospital Kanjirappally,  THQH Adimaly, DH Wadakkanchery, GTSH Kottathara, THQH Malappuram, THQH Thiruurangadi, W&amp;C Ponnani, DH Vatakara, DH Kannur, THQH Payyannur, THQH Taliparamba, GH Thalassery, W &amp; C hospital Mangattuparamba@ unit cost of Rs. 266161/-.
Proposed amount 16 * 266161 = Rs. 42,58,576/-
</t>
  </si>
  <si>
    <t>Operational cost for Pulse Polio Immunization campaign.</t>
  </si>
  <si>
    <t>Replacement of TL: 100 x 12000 = Rs 12,00,000</t>
  </si>
  <si>
    <t xml:space="preserve">Data SIM Card for CCH/VCCM- Rs 4667988/- (1301*299*12)
Data SIM Card for Temperature loggers- Rs5382000/-(1500*299*12)
</t>
  </si>
  <si>
    <t>161cases @ Rs.30000/- - Rs.48.30 L</t>
  </si>
  <si>
    <t>Self-care kit for 500 institutions @ 1000 Rs per delivery point (2026-27)</t>
  </si>
  <si>
    <t>"A) IFA syrups (with auto dispenser) for children (6-60months) 50% of the children in the age group of 6 months to 60 months will be provided with 2 bottles of Iron syrup for 1 year. Target beneficiaries 669624.
  Rs.13 x1339248 = Rs.1,74,10,224/-
 B) IFA tablets (IFA WIFS Junior tablets- pink sugar coated) for children (5-10 yrs.) 50% of the children in the age group of 5 - 10 years will be provided with WIFS Junior tablets. Target beneficiaries 1062895 (52 week) .
  Rs.0.311 x 55270540 = Rs. 1,71,89,138/- 
 C) IFA tablets (IFA red tablets) for pregnant woman. Target beneficiaries 322107 .
  Rs. 0.35 x 5,79,79,260= Rs. 2,02,92,741/-
 D) IFA tablets (IFA red tablets) for Lactating Mothers. Target beneficiaries 322107 .
  Rs. 0.35 x 5,79,79,260 = Rs. 2,02,92,741/-
 E) Folic Acid Tablets (400 mcg) for Lactating Mothers. Target beneficiaries 322107
  Rs. 0.20 x 2,89,89,630 = Rs. 57,97,926/-"</t>
  </si>
  <si>
    <t xml:space="preserve">2. Rs 107.33 Lakhs for procurement of 4991960 albendazole tablets for 4991960 children 1-19 years for one round @ Rs 2.15 per tablet
</t>
  </si>
  <si>
    <t xml:space="preserve">Recommended Rs 25.30 lakh for Vitamin A supplementation for 9,56,606 children aged 9-59 months @ Rs.70/ 100 ml bottle of Vitamin A.
Rs. 70 x 36,143 = 25,30,010/-
</t>
  </si>
  <si>
    <t>VPD Surveillance Rs.1L</t>
  </si>
  <si>
    <t>HbsAG RDT Kits for HRG, PW and GP
Anti-HCV RDT for HRG and GP</t>
  </si>
  <si>
    <t>Rs. 5.13 Lakhs Cash Grant - Cost of Ribavarin</t>
  </si>
  <si>
    <t>Equipment : 40 L 
Proposing at  GH- Pathanamthitta</t>
  </si>
  <si>
    <t>1. Tympanometer- 5 units @ Rs 3.80 L
2. Puretone Audiometers - 5 units @ Rs 1.15 L
3. Operating Microscope- 1 Unit @ Rs 4.75 L
4. Micro Drills with Bur Heads- 2 Units @ Rs 2.70 L
5. Micro Ear Surgery Instruments- 2 Units @ Rs 1.30 L
6. Sound treated Cubicle for Audiometry- 1 unit @ Rs 5 L</t>
  </si>
  <si>
    <t>Kayakalp Awards 20.5L , 2 lakh for Winner each in 4 districts having more than 10 UPHCs,  Winners from 5 districts @ 2 L,  Commendation price for balance 5 districts @ 50000/-                                                                                                                            U.13.2.2 Kayakalp Assessments 9.6 L year  Rs 500 for 102 UPHC for internal assessment Rs 5000 for peer assessment and  Rs  8000 for  50 UPHC for external assessment                                               U.13.2.3 Kayakalp Assessments 102L</t>
  </si>
  <si>
    <t>Rs.14 lakhs-Rs. 25,000 proposed for quarterly review &amp; continuing education of CHOs in 14 districts - 4 meetings per annum</t>
  </si>
  <si>
    <t xml:space="preserve">Rs. 100/MLSP proposed for State mentors to mentor 500 MLSPs in the state for 12 months.
</t>
  </si>
  <si>
    <t>Equipment for Blood Bank Strengthening</t>
  </si>
  <si>
    <t xml:space="preserve">1. Cash incentive for ASHAs who are willing to leave or opt to leave for 2500 ASHAs (age of 60 yrs) @ Rs.20000 per ASHA =500 L
2. ASHA Certification 
A)Exam fee for 922 ASHAs @ Rs. 878 = 8.10 L
B) ASHA incentive for 922 ASHAs @ Rs. 5000 = 46.10 L
C) Other Operating Expenses – 5 L
Total for ASHA Certification =59.19 L
</t>
  </si>
  <si>
    <t xml:space="preserve">Aardhrakeralam Puraskaram  </t>
  </si>
  <si>
    <t>DH Nilambur TC-85L,proposed this year- 20L</t>
  </si>
  <si>
    <t xml:space="preserve">Equipment for facilities as per IPHS </t>
  </si>
  <si>
    <t>Proposed for opex of 315 BLS Ambulance @ Rs.1,37,388/- per month</t>
  </si>
  <si>
    <t>EQAS only for Districts</t>
  </si>
  <si>
    <t xml:space="preserve">a) Procurement of ARV and ARS - Rs 2750 Lakhs  
b) Procurement of Mental Health Drugs Rs. 1400 Lakhs 
c) Procurement of NCD Drugs Rs.370 Lakhs
d) ASV drugs -180 lakhs
e) New born screening- Inborn error of metabolism– Rs. 472.50/- lakhs </t>
  </si>
  <si>
    <t>New born screening- Inborn error of metabolism– Rs. 315.96 lakhs 
             "Rs 350/- per live birth from public sector institutions and those referred in for newborn care  Beneficiary 90275.</t>
  </si>
  <si>
    <t>Medical insurance for NHM staff</t>
  </si>
  <si>
    <t xml:space="preserve"> planned to conduct a total of 20 training batches. Out of these, 5 batches will be conducted as Training of Trainers (TOT) programmes for Gynaecologists and Nursing Officers (comprising 5 Gynaecologists and 11 Nursing Officers per batch), while the remaining 15 batches will be exclusively for Nursing Officers. Each batch will consist of 16 participants, and the duration of training for each batch will be five days.
For each TOT batch, the anticipated expenditure includes an honorarium of Rs 25,000 for the training faculty, Rs 3,200 towards stationery (Rs 200 per participant), and Rs 2,000 for printing certificates, OSCE sets, and pre- and post-training questionnaires. The cost of food (breakfast, lunch, tea/snacks, and dinner) for 16 participants and 2 faculty members, calculated at ₹350 per person per day for five days, amounts to Rs 31,500. An additional Rs 5,000 is earmarked for miscellaneous expenses. Accordingly, the total expenditure per TOT batch is estimated at Rs 66,700, and the cumulative expense for five TOT batches comes to Rs 3,33,500.
For each Nursing Officers batch, the faculty honorarium is estimated at Rs 10,000. Stationery costs remain Rs 3,200, and printing charges are Rs 2,000. The food expenditure for participants and faculty is calculated at Rs 31,500( 350 per particiant per day), along with Rs 5,000 for miscellaneous expenses. Thus, the total expenditure per nursing batch is Rs 51,700. The cumulative cost for 15 nursing batches amounts to Rs 7,75,500.
Based on the above estimates, the total anticipated expenditure for all training batches is Rs 11,09,000, comprising Rs 3,33,500 for TOT batches and Rs 7,75,500 for nursing-only batches. Accordingly, the grand total expenditure proposed for the Mathrusishukavacham Skills Lab training programme for the year 2026–27 is Rs 11,09,000.</t>
  </si>
  <si>
    <t>Operational cost of SHSRC</t>
  </si>
  <si>
    <t xml:space="preserve">                       </t>
  </si>
  <si>
    <t>DBT  Rs.613.30lakhs
(Rs486.58225 Lakhs - 69512 Rural xRs.700, 
Rs.124.57950 lakhs for urban -20763  xRs.600 
Rs.2.89500lakhs for Home delivey 428
*Rs 500)</t>
  </si>
  <si>
    <t>Free Drugs &amp; consumables -for PW( 50430ND @ Rs 350 &amp;</t>
  </si>
  <si>
    <t>Rs.914.69 lakhs (Rs.644.21 lakhs for Diagnostic @ Rs 200/beneficiary for 322107 number of cases including ANC, Rs.270.475 lakhs for USG for HRP 54095 cases @ Rs.500/-)</t>
  </si>
  <si>
    <t xml:space="preserve">1)Free Drugs &amp; consumables -Rs.814.025 lakhs for PW( 50430ND @ Rs 350 &amp; 39845 C sections @ Rs 1600) accessing Govt health facilities for delivery
2) Diagnostic Rs.914.69 lakhs (Rs.644.21 lakhs for Diagnostic @ Rs 200/beneficiary for 322107 number of cases including ANC, Rs.270.475 lakhs for USG for HRP 54095 cases @ Rs.500/-)                                                                                             3) Other Operating Cost Rs 1102.60 lakhs
 a.Blood Transfusion - Rs. 27.08 
lakhs @ Rs 300/PW for 9028 cases
c. Diet Rs.1075.51 lakhs (Rs.697.29 lakhs for C section 39845 cases @ 250*7 days, Rs.378.225 lakhs for Normal 50430 cases @ 250*3 days)
</t>
  </si>
  <si>
    <t xml:space="preserve">Rs.631.925 lakhs @ Rs.700/- for 90275 deliveries </t>
  </si>
  <si>
    <t>Rs.12.36 lakhs for 76 PMSMA sites (vehicle @ Rs.1000/- per month and Refreshment expenses for 5404 HRP @ Rs.60/-</t>
  </si>
  <si>
    <t xml:space="preserve">(HRP-5404
*100*3) DBT
 for mobility support to HRP women @Rs 100 for 3 visits for 5404
 HRPs       </t>
  </si>
  <si>
    <t>85 cases @ Rs.1000/-</t>
  </si>
  <si>
    <t>OOC 
To conduct maternal death audit 
(85 cases *1000)</t>
  </si>
  <si>
    <t>1. Mobility support for RBSK Mobile health team – Rs. 244.56 lakhs
Mobility support for 1174 RBSK nurses  – Rs.1000*1174*12 = Rs.1,40,88,000/-
18 vehicles for MHT – Rs.48000*18*12 = Rs. 1,03,68,000 /-
2. Rs. 44.67 L - support for CUG connection @ Rs.300/- for 1174 RBSK nurses and 67 Shalabham Nurses, Monthly internet charges of Tabs for 1174 existing RBSK Nurses and 67 existing shalabham nurses. A total of 1,241 connection @ Rs.300 per month 
        1241 * 300 * 12 = Rs. 44,67,600/-</t>
  </si>
  <si>
    <t>1. Equipment (Including Furniture, Excluding Computers) - Rs.89.80 Lakh
District wise Proposal to fill the gaps in the essential and optional equipments available in each DEIC. Proposal amount is different based on the requirements of each unit. Annexure attached.  
2. Diagnostics -  Consumables for DEIC - Rs. 14.00 lakhs
       Consumables @Rs. 100000/-  for 14 DEICs.  
3. OOC -Rs.2381 lakhs 
A) Referral Support for Secondary/ Tertiary – Rs. 2357.00 Lakhs
               District wise cases identified through RBSK and comprehensive newborn screening are taken and the cost incurred for the treatment through secondary and tertiary care hospitals as well as the empanelled hospitals @ model cost put up by MoHFW. Backlogs and case load from private sector birth also needs to be considered for quantifying the caseload.  Estimated 15193 (excluding the dental procedures ) children under RBSK.
B) DEIC (including Data card internet connection for laptops and rental) – Rs. 24.00 lakhs
        Operational expenses for Rs.20000 per month for 6 DEICs  which have a separate two storey new buildings with floor area of 12180 SQFT each and Rs.10000 per month for remaining 8 DEICs.
Total amount for FY 2026-27 = Rs. 24,00,000/-
(6*20000*12+8*10000*12)</t>
  </si>
  <si>
    <t>Equipment for NBSU</t>
  </si>
  <si>
    <t xml:space="preserve">    A) ANM Honorarium (FBIR) of Rs 100 per death reported at FBIR  - 1.305 lakh  
      Rs. 100 per Under 5 Child Deaths @ Community level/ Non-FRU level/ private facilities for 1305 Under 5 Deaths.
                     1305 cases *100 = 1,30,500/- 
B)   Medical Officer Honorarium (Verbal Autopsy) @ Rs.500 – Rs. 6.525 lakh  
         Rs. 6.525 lakhs for Verbal Autopsy by team of 2 MOs @ Rs. 500 per Under 5 Child Deaths @ Community level/ Non- FRU level/ private facilities for 1305 Under 5 Deaths.
                                   1305*500 = 6,52,500/-
 C) Transport of Parents – Rs. 0.50 lakh  
          Rs. 0.50 lakh for transport of parents @ Rs.100 per case to attend DM level meeting for 500 deceased children
</t>
  </si>
  <si>
    <t>Drugs propposed for stop Diarrhoea campaign 
1 ORS proposed @ unit cost of Rs. 2.478.
              Rs. 2.478 x 20,03,037 = 49,63,526/-
 2) ZINC proposed @ unit cost of 0.332ps.
                   Rs. 0.332 x 1,11,21,205 = 36,92,240/-</t>
  </si>
  <si>
    <t>Operational Cost Pediatric HDUs – Rs. 29 lakhs               
   Operational cost for 29 HDUs @ Rs. 1 Lakh per HDU</t>
  </si>
  <si>
    <t>Drugs and supply  - Rs193.26 lakh proposed under JSSK Drugs and Diagnostics for 48316 sick infants  @ Rs.200/- each.</t>
  </si>
  <si>
    <t>Rs. 338.21 lakh recommended for approval under JSSk referral transport for around 48316 sick infants as proposed by the State @ Rs.700/-</t>
  </si>
  <si>
    <t>Equipment (Including Furniture, Excluding Computers) – 52.94 lakhs
1. Proposed 36 pulse oximeter for delivery points (CNBS – comprehensive newborn screening programme) -  at unit cost of Rs. 28,768/-
Proposed amount 36 * 28768 = Rs.10,35,649/-
2. Proposed for 16 OAE machine for delivery points (CNBS – comprehensive newborn screening programme - @ unit cost of Rs. 266161/-.
Proposed amount 16 * 266161 = Rs. 42,58,576/-</t>
  </si>
  <si>
    <t>Data SIM Card for CCH/VCCM- Rs 46,67,988/- (1301*299*12)
Data SIM Card for Temperature loggers- Rs.53,82,000/-(1500*299*12)</t>
  </si>
  <si>
    <t xml:space="preserve">DBT Rs.86.57 lakhs 
No of BPL Sterilisation - 2934@ Rs 1000 
=24.34 lakhs                                              
No of APL Sterilisation cases 8804@ Rs 650 
= 57.226 lakhs                                  
</t>
  </si>
  <si>
    <t xml:space="preserve">No of  Sterilisation - 381 @ Rs 1500 = Rs  4.95  lakhs </t>
  </si>
  <si>
    <t>No of PPIUCD -2192 and PAIUCD 184
 @ Rs 300/beneficiary, = Rs7.128lakhs</t>
  </si>
  <si>
    <t>proposed for 2746
 cases @ Rs.100/-Rs.2.75 L</t>
  </si>
  <si>
    <t xml:space="preserve">DBT -Rs.48.30 L 
161cases @ Rs.30000/- </t>
  </si>
  <si>
    <t xml:space="preserve">Drugs -Rs.5 Lakhs 
Self-care kit for 500 institutions @ 1000/- </t>
  </si>
  <si>
    <t>A) IFA syrups (with auto dispenser) for children (6-60months) 50% of the children in the age group of 6 months to 60 months will be provided with 2 bottles of Iron syrup for 1 year. Target beneficiaries 956607.
                    Rs.17.01 x 956607 = Rs. 1,62,71,885/-
B) IFA tablets (IFA WIFS Junior tablets- pink sugar coated) for children (5-10 yrs.) 50% of the children in the age group of 5 - 10 years will be provided with WIFS Junior tablets. Target beneficiaries 1062895 (52 week) .
                       Rs.0.311 x 55270540 = Rs. 1,71,89,138/- 
C) IFA tablets (IFA red tablets) for pregnant woman. Target beneficiaries 322107 .
                       Rs. 0.35 x 5,79,79,260= Rs. 2,02,92,741/-
D) IFA tablets (IFA red tablets) for Lactating Mothers. Target beneficiaries 322107 .
                       Rs. 0.35 x 5,79,79,260 = Rs. 2,02,92,741/-
E) Folic Acid Tablets (400 mcg) for Lactating Mothers. Target beneficiaries 322107
                        Rs. 0.20 x 2,89,89,630   = Rs. 57,97,926/-</t>
  </si>
  <si>
    <t>Drugs - Rs 107.33 Lakhs for procurement of 4991960 albendazole tablets for 4991960 children 1-19 years for one round @ Rs 2.15 per tablet</t>
  </si>
  <si>
    <t>Drugs and supply  - Rs.31.50  Lakhs
Recommends for at least nine doses of vitamin A to be given to all children aged 9 to 59 months. Hence proposed Vit- A bottles @ unit cost of Rs.70.
Rs. 70 x 45000 = 31,50,000/-</t>
  </si>
  <si>
    <t>CLMC equipment Malappuram</t>
  </si>
  <si>
    <t>Diagnostics Rs.10.10 Lakhs
A)  Consumables, sationaries &amp; equipment maintenance for 4 CLMC @ Rs.200000 as recurring cost.
           Rs.200000 x 4  = Rs. 800,000
B) Consumables, sationaries &amp; equipment maintenance for 4 CLMC @ Rs.105000 as recurring cost.
           Rs.105000 x 2  = Rs. 210000</t>
  </si>
  <si>
    <t xml:space="preserve">1. Referral Network of laboratories (Govt. Medical College labs)Rs.10L
2. VPD Surveillance Rs.8L </t>
  </si>
  <si>
    <t xml:space="preserve">Maintenance of Fogging machine b) Maintenance of lab equipments, including Microscopes. </t>
  </si>
  <si>
    <t>Drugs-Rs.5.84 Lakhs
1. Tab. Chloroquine-Rs.0.14L
2. Tab.Primaquine-7.5 mg- Rs.0.66L 
3. Injection Quinine &amp; Injection Artisunate, Artimethrine -Rs.1.81L
4. ACT Adult Blister Packets  (Artesunate+SP) and ACT-AL-Rs. 3.23L</t>
  </si>
  <si>
    <t xml:space="preserve">Three high risk panchayaths / district, so Rs. 5000*3 =15000
For any documentation- Rs. 10,000
Total for one district= Rs. 25,000,  For state  =Rs.25,000
Grant total Rs.25000*14 + 25000=3.5 L +0.25L=3.75L
</t>
  </si>
  <si>
    <t>1.  IgM kits GoI supply – @ 0.60L are recommended for 175 cases reported the previous year, per Kit  an amount of Rs 20,000.
2. Technical Malathion - Rs 8.5 L</t>
  </si>
  <si>
    <t xml:space="preserve">Operational Acute Encephalitis Syndrome (AES)/ Japanese Encephalitis (JE): Operational costs for malathion  fogging
Per case Rs.4500/- can be used in which wages for fogging machine operator (Skilled labor) Rs.730 and helper Rs.675. balance amount may be used for purchase of other commodities like diesel and petrol. If any upraise in cases in any district, the fund can be redistributed from the fund earmarked in the state.
</t>
  </si>
  <si>
    <t>Drugs-Rs.43.80 Lakhs 
a)        IgM ELISA Test kit 650 nos for DF(GoI supply- Rs 72.48 L)
b)        Temephos –Rs.16 L 
c)        Bti – Rs. 15 L 
d)        Pyrethrum extract 2% for space spray- Rs.12.80 L (@Rs.1298/litre- 986 litres)</t>
  </si>
  <si>
    <t>Diagnostics Rs.12.40 lakhs
a) Dengue NS1 antigen kit 
200 nos - Rs 12.4L (@ Rs. 6000/kit)</t>
  </si>
  <si>
    <t>1.DG&amp;CG: Vector Control,  environmental management &amp; fogging machine-Repair &amp; Maintenance - Rs 29.5L
2. Rs. 486L (800 contingent workers for 90 days @ Rs.675/-)</t>
  </si>
  <si>
    <t>1. Apex Referral Lab recurrent Rs 3.00 L for TVM- State Public Health Lab Trivandrum     (Apex Lab)
2.Sentinel Surveillance Hospital - Rs 19.00 L (Rs.0.50 lakh per SSH Laboratory)</t>
  </si>
  <si>
    <t>1. Funds for Hydrocelectomy (@Rs. 750 for 151 cases) - Rs 1.13 L
2. Funds Morbidity management (@Rs. 500 for 12350 cases- Rs 61.75L</t>
  </si>
  <si>
    <t>1. Verification and Validation for stoppage of MDA in LF endemic districts -ICT (immuno-chromatographic test- Survey -  Rs 33.90 L
2.Post MDA Surveillance- Rs.11.2L</t>
  </si>
  <si>
    <t>Diagnostics - 2.80 L
 Proposing Rs 2.80 Lakhs @ Rs 20000/-per district for drugs required for management of reaction and printing.</t>
  </si>
  <si>
    <t>DBT - 2.4 L
 Proposing for 20 cases @ Rs 12000/ Patient
 Equipment - 2 L 
 1. Procurement of other equipment: NLEP- MCR
 Proposing for Rs 1.52 Lakhs for MCR Chappals @ Rs 400 per unit
 2. Procurement of other equipment: NLEP- Aids/Appliance
 Proposing for Rs 0.48 Lakhs for Self care kit @ Rs 150 per unit 
 OOC -15.4 L
 Proposing for Early detection in camps, ulcer management, and prevention of deformity @ Rs 10000 per camp</t>
  </si>
  <si>
    <t>OOC - 8.00 L
Proposing Rs 8 Lakhs for NGO activities under NLEP- St. Johns Health Services, Pirappancode, Trivandrum is performing RCS also. The NGO is already reg-istered in E- darpan portal. The unique Id-  KL/2017/0165732</t>
  </si>
  <si>
    <t xml:space="preserve"> DBT-Rs. 39.50 Lakhs:- 
Treatment Supporter Honorarium (Rs.1000) - one-time payment on the update of the Outcome of Treatment for drug sensitive TB patients, approximately 3950 beneficiaries except ASHAs Honorarium which is expected around Rs. 158 Lakhs for 15800 Nos budgeted under ASHA Annexure</t>
  </si>
  <si>
    <t>Civil Works Rs 30 lakhs –
Rs. 16.75 lakhs for - Minor civil works/ repairing &amp; maintenance based on need basis and for minor civil works, STC,SDS, STDC etc. &amp; Rs. 13.25 Lakhs for districts</t>
  </si>
  <si>
    <t>Equipment- Rs. 40.00 Lakhs 
For State - Rs. 15.70 Lakhs - for Procurement/Service/repairs/replacement of equipment at State level STC – CCTV, Fire Extinguishers, SDS STDC.Procurement of office equipment, Air Conditioners etc and furniture for State levels STC, SDS (Office Equipments), Maintenance / up gradation costs for office equipment’s, Air Conditioners AMC (Office Equipment)
District Level -  Rs. 24.30 Lakhs - Procurement of equipments (DMC, X-ray and ECG etc for NTEP) &amp; Maintenance of /upgradation cost for laboratory equipments for DMC, TUs and office equipments , maintenance and upgrdation cost on need basis.</t>
  </si>
  <si>
    <t xml:space="preserve">Drugs- Rs. 200.10 Lakhs
State level - Rs. 156 Lakhs – 
Rs.12.00 Lakhs Procurement of First line drugs, Local Procurement of first line Anti TB drugs and HR for NTEP Drug Store and , drugs transportation.
Rs. 144.00 lakhs for Energy Dense Nutritional Supplement (EDNS) powder for around 6000 beneficiaries (6000 nos xRs. 2,400)
District Level - Rs. 44.10 Lakhs - Procurement of First line drugs, Local Procurement of first line Anti TB drugs, AIC Kits etc and, drugs transportation/logistics.
</t>
  </si>
  <si>
    <t xml:space="preserve">Diagnostics -Rs.145.00 lakhs 
District level - Rs. 145 Lakhs-  Patient support and sample transportation charges for diagnosis, Lab consumables for X-rays. ECG and other routine activities related to DSTB testing at TUs, DMC level and for procurement of Thermoluminescent Dosimeter (TLD) etc.
</t>
  </si>
  <si>
    <t xml:space="preserve">SRAE- Rs.40.50 lakhs 
State Level Rs. 33.50 Lakhs  - Rs. 13.50 lakhs - TA/DA cost of all officer/ staff working in NTEP,review meetings, Cost of internal evaluation etc.  Cost of Zonal Task Force, State Coalition meeting, State Task meetings.,-Rs. 20.00 lakhs Research &amp; Studies /PG Thesis
Districts Level - Rs. 7 Lakhs – Rs. 50000/- per Districts Support for District level/TU/LSGD TB Forums (Treatment Support Groups) functioning including meeting cost, travel support to community members attending meeting etc.
</t>
  </si>
  <si>
    <t xml:space="preserve">73.1 – DBT - DOTs Honoraium &amp; Tribal Incentives – Rs. 39.50 Lakhs:-Treatment Supporter Honorarium (Rs.1000) - one-time payment on the update of the Outcome of Treatment for drug sensitive TB patients, approximately 3950 beneficiaries except ASHAs Honorarium which is expected around Rs. 158 Lakhs for 15800 Nos budgeted under ASHA Annexure.
73.2 - Infrastructure - Civil –Rs. 30 Lakhs
At State –Rs. 16.75 lakhs for - Minor civil works/ repairing &amp; maintenance based on need basis and for minor civil works, STC,SDS, STDC 
For Districts -Rs. 13.25 Lakhs - minor civil works/ repairing &amp; maintenance required at  DTC, TU &amp;DMC and X-ray facilities etc based on need basis and for minor civil works on need basis.
73.3 - Equipments - Rs. 40.00 Lakhs
For State - Rs. 15.70 Lakhs - for Procurement/Service/repairs/replacement of equipment at State level STC – CCTV, Fire Extinguishers, SDS STDC.Procurement of office equipment, Air Conditioners etc and furniture for State levels STC, SDS (Office Equipments), Maintenance / up gradation costs for office equipment’s, Air Conditioners AMC (Office Equipment)
District Level -  Rs. 24.30 Lakhs - (DMC, X-ray and ECG etc for NTEP) &amp; Maintenance of /upgradation cost for laboratory equipments for DMC, TUs and office equipments , maintenance and upgrdation cost.
73.4 - Drugs - Rs. 200.10 Lakhs
State level - Rs. 156 Lakhs – 
Rs.12.00 Lakhs Procurement of First line drugs, Local Procurement of first line Anti TB drugs and drugs transportation.
Rs. 144.00 lakhs for Energy Dense Nutritional Supplement (EDNS) powder for around 6000 beneficiaries (6000 nosxRs. 2,400)
District Level - Rs. 44.10 Lakhs - Procurement of First line drugs, Local Procurement of first line Anti TB drugs and AIC Kits etc and, drugs transportation/logistics.
73.5 - Diagnostics Services - Rs. 145 Lakhs.
District level - Rs. 145 Lakhs-  Patient support and sample transportation charges for diagnosis, Lab consumables for X-rays. ECG and other routine activities related to DSTB testing at TUs, DMC level 
73.11 - Surveillance, Research, Review, Evaluation (SRRE) - Rs. 40.50L
State Level Rs. 33.50 Lakhs  - Rs. 13.50 lakhs - TA/DA cost of all officer/ staff working in NTEP, Cost of internal evaluation etc.  Cost of Zonal Task Force, State Coalition meeting, State Task meetings.,-Rs. 20.00 lakhs Research &amp; Studies /PG Thesis
Districts Level - Rs. 7 Lakhs – Rs. 50000/- per Districts Support for District level/TU/LSGD TB Forums (Treatment Support Groups) functioning including meeting cost, travel support to community members attending meeting etc.
</t>
  </si>
  <si>
    <t>DBT  - Ni-Kshay Poshan Yojana (NPY) -Rs. 969.60 Lakhs - Nutrition support to TB patient Rs. 1000 per month till the treatment is completed .The payment to be release directly to the beneficiary bank account.approximate 96960 benefits.</t>
  </si>
  <si>
    <t>74.1 DBT  - Ni-Kshay Poshan Yojana (NPY) -Rs. 969.60 Lakhs - Nutrition support to TB patient Rs. 1000 per month till the treatment is completed .The payment to be release directly to the beneficiary bank account approximate 96960 benefits.</t>
  </si>
  <si>
    <t xml:space="preserve"> DBT- Rs. 28.20 Lakhs 
Private Provider Incentives- NTEP DBT Scheme @Rs. 500/- per notification &amp;  Rs. 500/- when treatment outcome declared &amp; Incentives for first informant approximately 2820 Beneficiaries</t>
  </si>
  <si>
    <t xml:space="preserve">OOC- Rs.29.45 Lakhs 
State Level – Rs. 2.50 Lakhs for Private Hospital Consortiums/Coalition of Professional association/STEP centers – Review meeting expenses etc . 
District Level – Rs. 26.95 Lakhs - Cost of existing NGO/ PP support schemes and new NGO/ PP support schemes proposed as per NTEP Public Private Partnership Guidance, Private Hospital Consortiums/Coalition of Professional association/STEP centers – Review meeting expenses etc .
</t>
  </si>
  <si>
    <t xml:space="preserve">75.1 – DBT – Rs. 28.20 Lakhs 
Private Provider Incentives- NTEP DBT Scheme @Rs. 500/- per notification &amp; Rs. 500/- when treatment outcome declared &amp; Incentives for first informant approximately 2820 Beneficiaries.
75.5  - Diagnostics Services – 137.25 Lakhs
State Level Rs. 137.25 Lakhs 
 Estimated @ Rs. 10/- per-x-ray 75 x-rays (per day/per machine) of 61 Nos of HH X-ray Machines allotted to State for 25 days per month for 12 months - Reimbursement to Hospital Management Committee/NGO/other agencies for hiring service of Radiographer.  
75.8 - Others including operating costs (OOC) - Rs. 29.45 Lakhs  
State Level – Rs. 2.50 Lakhs for Private Hospital Consortiums/Coalition of Professional association/STEP centers etc.
District Level – Rs. 26.95 Lakhs - Cost of existing NGO/ PP support schemes and new NGO/ PP support schemes proposed as per NTEP Public Private Partnership Guidance, Private Hospital Consortiums/Coalition of Professional association/STEP centers etc . 
</t>
  </si>
  <si>
    <t>Rs. 28.30 lakhs - Rs. 250/- as incentive per beneficiaries for supporting LTBI tratment approximately 11320 benefits.</t>
  </si>
  <si>
    <t xml:space="preserve"> Rs. 25.00 lakhs - State Level - Local procurement of approved LTBI drugs. on need basis.</t>
  </si>
  <si>
    <t xml:space="preserve"> - Rs.120 Lakhs
 State Level - Rs. 99.00 lakhs 
Rs. 43 Lakhs - (Rs. 41 Lakhs for Procurement of Lab Materials and consumables for IGRA test/CY-TB etc &amp; Rs. 2.00 Lakhs transportation/logistics CY-TB through Cold Chain)
Rs. 56.00 lakhs - Support or reimbursement of X-ray provision for the contacts @ Rs. 100/- approximately for 14000 Nos Pulmonary cases having contact of around 4 Nos (56000 beneficiaries expected in an year ).
District Level - Rs. 21Lakhs
76.5 - Diagnostics (Consumables, PPP, Sample Transportation) -- Screening, referral linkages and follow-up under Latent TB Infection Management ,Cost for screening of LTBI such as incentives, sample collection &amp; transport, etc activities pertaining to LTBI.
</t>
  </si>
  <si>
    <t xml:space="preserve">State level – Rs. 43.00 Lakhs.
76.4 - LTBI Drugs – Rs. 25.00 lakhs - Local procurement of approved LTBI drugs.
76.5 –Diagnostics -Rs. 18.00 lakhs 
Rs. 18 Lakhs - (Rs. 16 Lakhs for Procurement of Lab Materials and consumables for IGRA test/CY-TB etc&amp; Rs. 2.00 Lakhs transportation/logistics of CY-TB through Cold Chain)
District Level  - Rs. 105.30 Lakhs
76.1 - DBT - Rs. 28.30 lakhs - Rs. 250/- as incentive per beneficiaries for supporting LTBI treatment approximately 11320 benefits.
76.5 - Diagnostics (Consumables, PPP, Sample Transportation) - Rs. 77 Lakhs
Rs. 21 Lakhs - Screening, referral linkages and follow-up under Latent TB Infection Management ,Cost for screening of LTBI such as incentives, sample collection &amp; transport, etc activities pertaining to LTBI.
Rs. 56.00 lakhs - Support or reimbursement of X-ray provision for the contacts @ Rs. 100/- approximately for 14000 Nos Pulmonary cases having contact of around 4 Nos (56000 beneficiaries expected in a year).
</t>
  </si>
  <si>
    <t xml:space="preserve">DBT - Rs. 5.90 Lakhs – 
 DRTB Cases DOTs Providers Honorarium for one-time payment, approximately Total - 250 Nos @ Rs 5000/- &amp; 820 Nos @ Rs. 1000/- , of which 200 Nos @ Rs. 5000/- &amp; 480 Nos @ Rs. 1000 which has been proposed in the ASHAs Incentive Annexure &amp; for other categories 50 Nos @ Rs. 5000/- &amp; 340 Nos @ Rs. 1000/- proposed under NTEP budget sheet.
</t>
  </si>
  <si>
    <t xml:space="preserve">Civil –Rs. 15.00Lakhs
State  Rs 3.00 lakhs 
Rs. 3.00 lakhs for IRL Trivandrum, for minor civil works and in Nodal DR TB Centre, Trivandrum.
District - Rs. 12.00 Lakhs 
Minor civil works/repairing &amp; maintenance of Nodal DR TB Centre, CBNAAT, Trunaat Sites, C&amp;DST labs on need basis.
</t>
  </si>
  <si>
    <t xml:space="preserve">State - Rs.200.50 Lakhs 
Rs. 102.80Lakhs Procurement of lab and office equipment for State levels - IRL Tvm - 100.80 lakhs (separate list of equipment attached), 2.00 lakhs for DR TB Centre, Tvm, Rs. 97.70 Lakhs – (Rs. 13.00 Lakhs for Maintenance/AMC/CAMC/Calibration / up gradation costs for Laboratory equipment’s for DR TB Centre, IRL  (IRL Tvm - 12.00 lakhs, Nodal DR TB Centre, Tvm - Rs. 1.00 lakhs), Machines,  Rs. 84.70 Lakhs CMC/CAMC for CBNAAT and Truennat including State procured and CSR funds, Replacement of faulty modules), 
District Level -Rs. 60.87 Lakhs 
Procurement of equipment for District level (DRTB Centers, C&amp;DST Lab and Molecular Diagnostics), Maintenance/up gradation costs for Laboratory equipments for DR TB Centre, C&amp;DST Lab and Molecular Diagnostics Equipment.
</t>
  </si>
  <si>
    <t xml:space="preserve">State - Rs. 20.00 Lakhs 
Procurement of DRTB &amp; NTM drugs, local Procurement of second line drugs., and rarely used drugs as suggested by State Difficult to Treat Clinic and Nodal DR TB Centers on need basis charges etc
Districts - Rs. 15.00 Lakhs 
Procurement of Drugs, Local procuerement of second line drugs on need basis etc. 
</t>
  </si>
  <si>
    <t xml:space="preserve">State - Rs. 1146.00 Lakhs 
Rs. 400.00 Lakhs for LPA (MTB &amp; NTM) Kits, NTM Phenotypic DST kits,  MGIT Kits for the use in IRL &amp; C&amp;DST Lab Kozhikode
Rs. 493.00 Lakhs for approximately 50000 Nos of CBNAAT MTB/RIF PCR Test Kit, Rs. 193.00 lakhs for approximately 25000 Nos of TrueNAAT Micro PCR MTB Test Kit.,Rs. 60.00 Lakhs for other Lab Consumables &amp; Reagents for IRL, TB identification antigen card etc. 
District - Rs. 45.50 Lakhs for lab consumables and reagents for the use in the C&amp;DST Lab, Kozhikode. 
</t>
  </si>
  <si>
    <t xml:space="preserve">Rs. 25000 per Districts for carrying out the Air borne Infection Control (AIC) measures
Assessment activity.
</t>
  </si>
  <si>
    <t xml:space="preserve">77.1 – DBT – DOTs Honorarium &amp; Tribal Incentives - Rs. 5.90 Lakhs – 
DRTB Cases DOTs Providers Honorarium for one-time payment, approximately Total - 250 Nos @ Rs 5000/- &amp; 820 Nos @ Rs. 1000/- , of which 200 Nos @ Rs. 5000/- &amp; 480 Nos @ Rs. 1000 which has been proposed in the ASHAs Incentive Annexure &amp; for other categories 50 Nos @ Rs. 5000/- &amp; 340 Nos @ Rs. 1000/- proposed under NTEP budget sheet.
77.2 - Infrastructure - Civil –Rs. 15.00Lakhs
State  Rs 3.00 lakhs 
Rs. 3.00 lakhs for IRL Trivandrum, for minor civil works and in Nodal DR TB Centre, Trivandrum.
District - Rs. 12.00 Lakhs 
Minor civil works/repairing &amp; maintenance of Nodal DR TB Centre, CBNAAT, Trunaat Sites, C&amp;DST labs on need basis.
77.3 - Equipment - Rs. 261.37 Lakhs
State - Rs.200.50 Lakhs 
Rs. 102.80Lakhs Procurement of lab and office equipment for State levels - IRL Tvm - 100.80 lakhs (separate list of equipment attached), 2.00 lakhs for DR TB Centre, Tvm, Rs. 97.70 Lakhs – (Rs. 13.00 Lakhs for Maintenance/AMC/CAMC/Calibration / up gradation costs for Laboratory equipment’s for DR TB Centre, IRL  (IRL Tvm - 12.00 lakhs, Nodal DR TB Centre, Tvm - Rs. 1.00 lakhs), Machines,  Rs. 84.70 Lakhs CMC/CAMC for CBNAAT and Truennat including State procured and CSR funds, Replacement of faulty modules), 
District Level -Rs. 60.87 Lakhs 
Procurement of equipment for District level (DRTB Centers, C&amp;DST Lab and Molecular Diagnostics), Maintenance/up gradation costs for Laboratory equipments for DR TB Centre, C&amp;DST Lab and Molecular Diagnostics Equipment.
77.4 - Drugs - Rs. 35.00 Lakhs
State - Rs. 20.00 Lakhs 
Procurement of DRTB &amp; NTM drugs, local Procurement of second line drugs., and rarely used drugs as suggested by State Difficult to Treat Clinic and Nodal DR TB Centers on need basis charges etc
Districts - Rs. 15.00 Lakhs 
Procurement of Drugs, Local procurement of second line drugs on need basis etc. 
77.5 - Diagnostics (Consumables, PPP, Sample Transportation) - Rs. 1191.50 Lakhs
State - Rs. 1146.00 Lakhs 
Rs. 400.00 Lakhs for LPA (MTB &amp; NTM) Kits, NTM Phenotypic DST kits,  MGIT Kits for the use in IRL &amp; C&amp;DST Lab Kozhikode
Rs. 493.00 Lakhs for approximately 50000 Nos of CBNAAT MTB/RIF PCR Test Kit, Rs. 193.00 lakhs for approximately 25000 Nos of TrueNAAT Micro PCR MTB Test Kit.,Rs. 60.00 Lakhs for other Lab Consumables &amp; Reagents for IRL, TB identification antigen card etc. 
District - Rs. 45.50 Lakhs for lab consumables and reagents for the use in the C&amp;DST Lab, Kozhikode. 
77.11 - SRRE – Rs. 3.50 Lakhs
Rs. 25000 per Districts for carrying out the Air borne Infection Control (AIC) measures
Assessment activity.
</t>
  </si>
  <si>
    <t xml:space="preserve">HBIG for newborns born to HbsAg Positive mothers - 483 Antenatal mothers (0.15%) are expected to be HbsAg positive among 321821 screened. Their newborn will require HBIG budgeted Rs 2000/- per baby </t>
  </si>
  <si>
    <t xml:space="preserve">Operational Expenses for Laboratories ,Operational expenses for designated State Lab </t>
  </si>
  <si>
    <t>1. Procurement of Ribavirin @ Rs.4.1L at State Level
2.  Purchase of Hep A &amp; E-Drugs at district level @0.5L each 14 district</t>
  </si>
  <si>
    <t>Operational Exp for TC &amp; MTCs at district level</t>
  </si>
  <si>
    <t>Diagnostics- Rs.10 lakhs Diagnostics - Leptospirosis test kits - Rapid Kits, ELISA kits and PCR Test kits</t>
  </si>
  <si>
    <t>Proposing for 27500 cases @ Rs 1000 for the Assistance for consumables/ drugs/ medicines including IOL to the Govt. Hospital for Cataract surgery.</t>
  </si>
  <si>
    <t>Proposing 3500 cases@ Rs 2000 per case</t>
  </si>
  <si>
    <t xml:space="preserve">120 cases of Diabetic Retinopathy @ 2000 – Rs.0.4 L
10 cases of Childhood Blindness @ Rs.2000 – Rs 0.2 L
20 cases of Glaucoma @ Rs.2000 – Rs 0.4 L
10 Cases of Keratoplasty @ Rs 7500- Rs 0.75 Lakhs
15 Cases of Vitreoretinal Surgery @Rs.10000/- Rs 1.5 Lakhs
</t>
  </si>
  <si>
    <t>Proposing for 1335 pair @ Rs 2000 per pair</t>
  </si>
  <si>
    <t>Proposing for 25000 Spectacles @ Rs.350/- per unit</t>
  </si>
  <si>
    <t>Proposing for 32000 Spectacles @ Rs.350/- per unit</t>
  </si>
  <si>
    <t>OOC: Rs 15 Lakhs Proposing for Maintenance, POL &amp; Insurance of existing Mobile Ophthalmic unit @ Rs 1 Lakhs each</t>
  </si>
  <si>
    <t>HR at State Telemanas Cell, Operational Costs  State Telemanas and district  (Internet Charges, office expenses, operating expenses, contingency, admin expenses, miscellaneous).</t>
  </si>
  <si>
    <t xml:space="preserve"> Geriatric Care at DH Drugs and Supplies -  : Rs. 10 L x 14 districts</t>
  </si>
  <si>
    <t>Old Age Homes Rs. 0.05 L x 715 Old Age Homes Rs. 35.75 L.  The services include screening, investigation, management and rehabilitation.</t>
  </si>
  <si>
    <t xml:space="preserve">Activities include both indoor and outdoor activities like tobacco free school, school level task force formation &amp; meetings, awareness generation campaigns etc at Schools &amp; Colleges 2L /district – 2 X 14= 28 L </t>
  </si>
  <si>
    <t>1. Equipment :Carbon monoxide Breath Analyzer  Rs. 23.40 Lakhs
2. Drugs &amp; Supplies – 27 L Procurement of Nicotine gums,  etc for  36 Tobacco cessation centers  0.75 L/ TCC-  27 L</t>
  </si>
  <si>
    <t>Drugs and Supplies : Rs. 880 Lakhs Drugs for 88 SDH Hospital.</t>
  </si>
  <si>
    <t xml:space="preserve">Infrastructure &amp; civil work 129 Lakhs
Retrofitting for Model Climate-Disaster Resilient healthcare facility 
 2. Equipments  : 8.80 Lakhs Recommended equipments for establishing heat stroke clinics at DH/SDH/CHC hospitals
3. OOC 46.50 Lakhs
a) Greening &amp; Climate Disaster Resilient HCF( Energy Auditing, LED replacement, Energy Efficient equipments, Rainwater Harvesting , Solarization etc)   
Details Note Attached. </t>
  </si>
  <si>
    <t>Diagnostics 82 Lakhs
1. Purchase of Dental Consumables as per the NEED of  Institutions  (56 SDH x Rs 75000 = Rs. 42 L. &amp; 80  CHC/FHC x Rs 50000 = Rs. 40 L)</t>
  </si>
  <si>
    <t>OOC 70 Lakhs
Miscellaneous including Travel/ POL/ Stationary/ Communications/ Drugs etc. 5 L x 14 Districts</t>
  </si>
  <si>
    <t xml:space="preserve">1. Diagnostics Rs.3.36lakhs- Ion Electrode, Laboratory Equipments  and Lab Reagents  Alapuzha and Palakkad Rs.1.68Lakhs/each.  OOC  Rs. 1.5 Lakhs each  Rs.1 L/each District) &amp;Miscellaneous including Travel/POL/Stationary etc. (Rs.1 Lakhs/each District).  Meetings/workshops
Coordination Meeting with DNO, School Teachers, ASHA and other Volunteers  Rs. 10000/- x 5 Meetings.  Rs. 0.50 L x 2 districts
</t>
  </si>
  <si>
    <t>Equipment-Rs.42.70 lakhs
1. Tympanometer- 5 units @ Rs 3.80 L- Rs.19 L
2. Puretone Audiometers - 5 units @ Rs 1.15 L-Rs.5.75L
3. Operating Microscope- 1 Unit @ Rs 4.75 L-Rs.4.75 L
4. Micro Drills with Bur Heads- 2 Units @ Rs 2.70 L-Rs.5.40L
5. Micro Ear Surgery Instruments- 2 Units @ Rs 1.40 L-Rs.2.80 L
6. Sound treated Cubicle for Audiometry- 1 unit @ Rs 5 L-Rs.5L</t>
  </si>
  <si>
    <t>Equipments Burs Unit Chalakudy Details Attached</t>
  </si>
  <si>
    <t xml:space="preserve">28 institution @ Rs.50000/- </t>
  </si>
  <si>
    <t>Kayakalp Assessments Rs 500 for UPHC for internal assessment Rs 5000 for peer assessment and  Rs  8000</t>
  </si>
  <si>
    <t>Salary for staff under 102 UPHCs and salary of staff of 380 UHFWs with 5 % annual increments and EPF Contribution.</t>
  </si>
  <si>
    <t>Planning &amp; M&amp;E  Mobility support for  for DPMU  @ Rs. 40000/- per month for 14  districts   = 67.2 L
Administrative expenses (including Review meetings, workshops,  etc.)Rs. 10000/- per month for 14 district Units 16.8L
State: Mobility 55000/month  and 10000/month Admn Cost-7.80 lkhs</t>
  </si>
  <si>
    <t>Untied grants to 1510 MAS  @Rs.3000/- per MAS</t>
  </si>
  <si>
    <t>Rs.194.98 lakhs for Telemedicine -Rs.3600/- per 5416 SC-AAMs</t>
  </si>
  <si>
    <t>Rs. 100/MLSP proposed for State mentors to mentor 500 MLSPs in the state for 12 months.</t>
  </si>
  <si>
    <t xml:space="preserve">
 "</t>
  </si>
  <si>
    <t>Equipment for Blood Bank Strengthening at DH Mananthavady</t>
  </si>
  <si>
    <t xml:space="preserve">Blood bank/ Blood storage/ Day care center for Hemoglobinopathies-Operational expenses 17 DDCCs and HTCs @ 100000. Total Rs. 17 lakhs. 
2.Equipment for Blood Bank Strengthening Rs.1.19 lakhs       </t>
  </si>
  <si>
    <t>OOC-Rs.1.20 lakhs 
Operational expenses for wayanad sickle cell unit – 10000 per month. Total 10000 *12 = Rs.120000/-</t>
  </si>
  <si>
    <t>OOC- Rs.1476.67 Lakhs 
 "1. Cash incentive for ASHAs who are willing to leave or opt to leave for 1500 ASHAs (age of 60 yrs) @ Rs.50000 per ASHA =750 L
 2. ASHA Certification 
 A)Exam fee for 922 ASHAs @ Rs. 762 = 7.03 L
 B) ASHA incentive for 922 ASHAs @ Rs. 5000 = 46.10 L
 C) Other Operating Expenses – 5 L
 Total for ASHA Certification =58.13 L
 3) Mobile Allowance for 26125 ASHA for 12 Months - Rs. 200 for one month = 627 L"
 4. Quarterly Review Meeting 
 Quarterly review meeting for 1 ASHA from each PHC @ ₹300 per ASHA for 1,285 ASHAs-Total: ₹15.42 Lakh
 5. Computer Training for ASHAs
 Computer training for ASHAs @ ₹100 per ASHA for 26125 ASHA-Total– ₹26.125 Lakhs</t>
  </si>
  <si>
    <t>1. Aardhrakeralam Puraskaram  -197.14 Lakhs
2.Review of Transgender and Migrant Link Workers- Rs.1.12 Lakhs</t>
  </si>
  <si>
    <t xml:space="preserve">Total Rs.737.93L
Diagnostics (Consumables,PPP,Sample Transport)- Rs.132 L
District Level Activities                                                                                    1. Total Rs.132L is proposed for Support for the implementation of activities related to hospital cleanliness and infection control (Kayakalp) and traversing the gaps identified during internal /peer/district assessment. Consumables related to implementation of infection control practices in hospital/ hospital laboratory including cost of  water/environmental swab/sample testing, 
autoclave bags, indicator strips etc
Rs 1L  for each 132 DH 44 &amp;TH-THQH 88 
Others including operating costs (OOC) –Rs. 605.8L
Rs.376.4L proposed for State Level Activities                                                                                   1. Total 27.50L is proposed for Kayakalp State External Assessment –
Rs.0.25L*30DH = Rs.7.5L
Rs.0.25L*80SDH = Rs.20L
 2.Total 311.90L for Kayakalp Award                                                 Award Money for 
Best DH Rs.50L
Runner Up DH Hospital Rs.20L
Commendation Award DH Rs.3Lx28DH=84L
Award Money for Best SDH Rs.15L
Runner Up SDH Rs.10L
Commendation Award SDH Rs.1Lx 50SDH=50L
Award For Best PHC for each District Rs.2Lx14Dist=28L                                                                   
Commendation Award for PHC  Rs.0.50x28PHC=14L                                                          Best AAM-SC 1L *14 = 14L
1st Runner Up AAM-SC Rs.0.50L*14Dist=7L                                                                  2nd Runner UP AAM-SC Rs.0.35*14Dist = 4.90L                                                                                                                           Best Eco friendly DH = 10L                                                                                  Best Eco friendly SDH/CHC = 5L
3.BIOMEDICAL WASTE MANAGEMENT- Total 17L Support for the 
implementation of Kayakalp particularly in relation BMW management and 
transversing the gaps observed in their domain during IA/Peer assessments.
Includes purchase of colour coded bins, puncture proof box, colour coded bags, payment to biomedical waste treatment facility etc. IEC/SOPs/consumables 
related to BMW management, laundry/ power laundry, STP/ETP 
1 Lakh* 17 specialty Hospitals =17L 
4.Contingencies –Rs.20L 
                                                                                                                                                                             Rs.229.53L proposed for District Level Activities                                                                 
1.Expenses proposed  for Kayakalp Peer Assessment of institutions -                                   Total Rs.90.53L
                                                                                                                   Rs.11L DH Level Peer Assessment -Rs.25,000/- each for 44 DH 
Rs.40.95L SDH/CHC Hospital Peer Assessment Rs.13,000/- each for 314 SDH/CHC
Rs.16.92L PHC Peer Assessment - Rs.2000/- each for 846 PHC
Rs.21.66L AAM-SC Peer Assessment -2000/-each for 1083HWC -SC   ( taken 20% of 5416)                                                                                                         
2.Total Rs.132 L Support for NQAS/MusQan Implementation for the gap closure in targeted institutions - 
At Rs.1L*132 (DH44/TH-THQH88) for each Districts for identified target institutions on priority basis
                                                                                                                                                    3.Total 7L Contingency- District Level Award function and  District Assessment Pest Control Biomedical Rs.50,000/- for 14 Districts.
</t>
  </si>
  <si>
    <t>Rs.140.40 L - 39 seats at DISHA 1056 Call centre Rs.3.60 L per seat including ECD call centre. (Rs.30000/- per month)</t>
  </si>
  <si>
    <t>Remuneration for all NHM HR SD and PM staff. Details in HR Annexure</t>
  </si>
  <si>
    <t xml:space="preserve">DBT Rs 3.564 L (2192 PPIUCD-Provider Incentive@Rs 150 and  184 PAIUCD-Provider Incentive@Rs 150
</t>
  </si>
  <si>
    <t>Remuneration for all MLSP staff. Details in HR Annexure</t>
  </si>
  <si>
    <t>MHC Trivandrum-Rs.6,25,000/-
MHC Kozhikode-Rs.7,90,000/-
GH Kozhikode-Rs.4,04,000/-
GH TVM-Rs.10,57,000/-
GH EKM-Rs.7,00,000/-
DH Palakkad-Rs.7,14,000/-
DH Kannur-Rs.7,10,000/-</t>
  </si>
  <si>
    <t>36 DH/GH @ Rs.250000/-, 88 SDH @ Rs.1,00,000/-, 20998 VHSC @ Rs.5000/-</t>
  </si>
  <si>
    <t xml:space="preserve">CAMC rates and cost of repairs, maintenance &amp; spare parts of 20 PSA plants provided through DRDO and HITES are proposed </t>
  </si>
  <si>
    <t>Rs.15 lakhs proposed by Kasargod for endosulfan sai gram project</t>
  </si>
  <si>
    <t>Annexure - 1: Details of Approval for FY 2026-27</t>
  </si>
  <si>
    <t>Details given ASHA Annexure</t>
  </si>
  <si>
    <t>Rs.15 lakhs  for endosulfan sai gram project</t>
  </si>
  <si>
    <t xml:space="preserve">
2. Operational cost for larviciding including Spray wages –Rs.3.2 L
3. Operational cost for IRS including Spray wages –Rs.13.9 L</t>
  </si>
  <si>
    <t>A total amount of Rs 5.90 Lakhs is approved for the districts based on disease status, active foci, active residual foci and other high risk areas</t>
  </si>
  <si>
    <t xml:space="preserve">OOC- Rs.162.30 Lakhs
a.Implementation of sampoorna Manasika arogyam 150 FHC x 0.30 L = 45 L 
b. Tribal Mental Health interventions 84 camps x 0.2 L = 16.80 L 
c. Mental Health Interventions in Coastal Areas 45 camps x 0.2 L = 9 L 
d.  Workplace Intervention in 140 institutions x 0.05 = 7 L                                                                  2. Rs. 6 Lakhs for Operational expenses, for misc./travel expenses Rs. 6 L x 14 Districts and Rs. 0.5 Lakhs State Level. - Rs.84.50 Lakhs
</t>
  </si>
  <si>
    <t>1. Equipment Cancer Care Unit 40 Lakhs/ 3 Centres (Rs. 10 L GH Neyyatinkara, GH Adoor, Rs. 20 L  GH Thiruvalla)   2. Drugs and Supplies : Rs.1188 Lakhs Drugs for GH/DH Hospital.
Revalidation-Rs.14.38 lakhs</t>
  </si>
  <si>
    <t>1. Drugs &amp; Supplies Rs. 1377.50 L  (Cancer,COPD &amp; Stroke)
2. Revalidation Rs.46.85 lakhs</t>
  </si>
  <si>
    <t>1. Drugs and Supplies :  Rs. 50 Lakhs 
Purchase of Nephrology Medicine for Haemodialysis Patients.
Revalidation 63.80 lakhs</t>
  </si>
  <si>
    <t>1. Equipment  for CCU (STEMI) 1L x 14 District - Details attached
2. Drugs &amp; Supplies Rs. 120 L Details attached</t>
  </si>
  <si>
    <t>Rewards and recognition for good performing HealthMessenger Students @ rs 500 worth NF incentive for 125 bst Health Messenger students (HWA) in each 186 blocks , TVM-19 Health Blocks</t>
  </si>
  <si>
    <t>Rewards and recognition for good performing HealthMessenger Students @ rs 500 worth NF incentive for 125 bst Health Messenger students (HWA) in each 186 blocks , KLM-16 Health Blocks</t>
  </si>
  <si>
    <t>Rewards and recognition for good performing HealthMessenger Students @ rs 500 worth NF incentive for 125 bst Health Messenger students (HWA) in each 186 blocks , PTA-10 Health Blocks</t>
  </si>
  <si>
    <t>Rewards and recognition for good performing HealthMessenger Students @ rs 500 worth NF incentive for 125 bst Health Messenger students (HWA) in each 186 blocks , alp-12 Health Blocks</t>
  </si>
  <si>
    <t>Rewards and recognition for good performing HealthMessenger Students @ rs 500 worth NF incentive for 125 bst Health Messenger students (HWA) in each 186 blocks , KTM-16 Health Blocks</t>
  </si>
  <si>
    <t>Rewards and recognition for good performing HealthMessenger Students @ rs 500 worth NF incentive for 125 bst Health Messenger students (HWA) in each 186 blocks , IDK-7 Health Blocks</t>
  </si>
  <si>
    <t>Rewards and recognition for good performing HealthMessenger Students @ rs 500 worth NF incentive for 125 bst Health Messenger students (HWA) in each 186 blocks , EKM-19 Health Blocks</t>
  </si>
  <si>
    <t>"OOC - 1) (Community Intervention for AH Services) Incentives for Peer Educators Rs 25/month* 12 months*no of PEs (EKM -400) -Rs 1.20L
 3) Organizing Adolescent Health &amp; Wellness day Rs. 2500* No. of selected blocks*4 AHWD/FY( EKM-5) - Rs 0.50"</t>
  </si>
  <si>
    <t>Rewards and recognition for good performing HealthMessenger Students @ rs 500 worth NF incentive for 125 bst Health Messenger students (HWA) in each 186 blocks , TSR-17 Health Blocks</t>
  </si>
  <si>
    <t>"OOC - 1) (Community Intervention for AH Services) Incentives for Peer Educators Rs 25/month* 12 months*no of PEs (PKD-1300) -Rs 3.99 L
 2) Organizing Adolescent Health &amp; Wellness day Rs. 2500* No. of selected blocks*4 AHWD/FY( PKD 15) - Rs 1.50"</t>
  </si>
  <si>
    <t>Rewards and recognition for good performing HealthMessenger Students @ rs 500 worth NF incentive for 125 bst Health Messenger students (HWA) in each 186 blocks , PKD-14 Health Blocks</t>
  </si>
  <si>
    <t>1) (Community Intervention for AH Services) Incentives for Peer Educators Rs 25/month* 12 months*no of PEs (MLP-1800) - 5.40 L  2) Organizing Adolescent Health &amp; Wellness day Rs. 2500* No. of selected blocks*4 AHWD/FY( MLP -15) - 1.50 L</t>
  </si>
  <si>
    <t>Rewards and recognition for good performing HealthMessenger Students @ rs 500 worth NF incentive for 125 bst Health Messenger students (HWA) in each 186 blocks , MLPM-15 Health Blocks</t>
  </si>
  <si>
    <t>"OOC - 1) Community Intervention for AH Services) Incentives for Peer Educators Rs 25/month* 12 months*no of PEs (KKD -400) -Rs 1.20 L
 2) Organizing Adolescent Health &amp; Wellness day Rs. 2500* No. of selected blocks*4 AHWD/FY( KKD-5) - Rs 0.50"</t>
  </si>
  <si>
    <t>Rewards and recognition for good performing HealthMessenger Students @ rs 500 worth NF incentive for 125 bst Health Messenger students (HWA) in each 186 blocks , KKD-16 Health Blocks</t>
  </si>
  <si>
    <t>Rewards and recognition for good performing HealthMessenger Students @ rs 500 worth NF incentive for 125 bst Health Messenger students (HWA) in each 186 blocks , WYD-5 Health Blocks</t>
  </si>
  <si>
    <t>OOC - 1) Community Intervention for AH Services) Incentives for Peer Educators Rs 25/month* 12 months*no of PEs (KNR -400) -Rs 1.20 L
 2) Organizing Adolescent Health &amp; Wellness day Rs. 2500* No. of selected blocks*4 AHWD/FY( KNR-12) - Rs 1.20</t>
  </si>
  <si>
    <t>Rewards and recognition for good performing HealthMessenger Students @ rs 500 worth NF incentive for 125 bst Health Messenger students (HWA) in each 186 blocks , KNR-13 Health Blocks</t>
  </si>
  <si>
    <t>OOC - 1) (Community Intervention for AH Services) Incentives for Peer Educators Rs 25/month* 12 months*no of PEs (KSD -1100) -Rs 3.30 L
 2) Organizing Adolescent Health &amp; Wellness day Rs. 2500* No. of selected blocks*4 AHWD/FY( KSD -9) - Rs 0.90</t>
  </si>
  <si>
    <t>Rewards and recognition for good performing HealthMessenger Students @ rs 500 worth NF incentive for 125 bst Health Messenger students (HWA) in each 186 blocks , KSD-7 Health Blocks</t>
  </si>
  <si>
    <t>OOC - 1) (Community Intervention for AH Services) Incentives for Peer Educators Rs 25/month* 12 months*no of PEs (WYD -900) -Rs2.70 L
 3) Organizing Adolescent Health &amp; Wellness day Rs. 2500* No. of selected blocks*4 AHWD/FY( WYD-5) - Rs 0.50</t>
  </si>
  <si>
    <t>1. Purchase of Dental Chairs (30 Nos x 2L) 
2.OOC- For Conducting 210 Dental Camps  Organisational Expenses, POL, IEC and Miscellaneous Camp Expenses@ Rs.10000/-- Rs. 21 L</t>
  </si>
  <si>
    <t>1. Tympanometer- 6 units @ Rs 3.80 L
2. Puretone Audiometers - 5 units @ Rs 1.15 L
3. Operating Microscope- 1 Unit @ Rs 4.75 L
4. Micro Drills with Bur Heads- 2 Units @ Rs 2.70 L
5. Micro Ear Surgery Instruments- 2 Units @ Rs 1.30 L
Revalidation-Rs.151.65 lakhs</t>
  </si>
  <si>
    <t xml:space="preserve">Amount Approved  Rs 25 L
For 2500 cases @ Rs 1,000/- for the Assistance for consu-mables/ drugs/ medicines including IOL to the Govt. Hospital for Cataract surgery.
</t>
  </si>
  <si>
    <t xml:space="preserve">Amount Approved: Rs 2 L
For 100 pairs of eye ball @ Rs 2,000/- per case
</t>
  </si>
  <si>
    <t xml:space="preserve">Amount Approved:  Rs 7.5 L
For 2140 spectacles for school children @Rs. 350/-(max)
</t>
  </si>
  <si>
    <t xml:space="preserve">Amount Approved:  Rs 7.5 L
For 2140 spectacles for old age people @Rs. 350/-(max)
</t>
  </si>
  <si>
    <t xml:space="preserve">Amount Approved  Rs 25 L
For 2500 cases @ Rs 1,000/- for the Assistance for consu-mables/ drugs/ medicines including IOL to the Govt. Hospital for Cataract surgery.
</t>
  </si>
  <si>
    <t xml:space="preserve">Amount Approved Rs 8 L
For 400 cases@ Rs 2,000/- per case
</t>
  </si>
  <si>
    <t xml:space="preserve">Amount Approved:  Rs 7.10 L
For 2028 spectacles for school children @Rs. 350/-(max)
</t>
  </si>
  <si>
    <t xml:space="preserve">Amount Approved  Rs 18 L
For 1800 cases @ Rs 1,000/- for the Assistance for consu-mables/ drugs/ medicines including IOL to the Govt. Hospital for Cataract surgery.
</t>
  </si>
  <si>
    <t xml:space="preserve">Amount Approved Rs 2 L
For 100 cases@ Rs 2,000/- per case
</t>
  </si>
  <si>
    <t xml:space="preserve">Amount Approved:  Rs 4.50 L
For 1285 spectacles for school children @Rs. 350/-(max)
</t>
  </si>
  <si>
    <t xml:space="preserve">Amount Approved:  Rs 4.50 L
For 1285 spectacles for old age people @Rs. 350/-(max)
</t>
  </si>
  <si>
    <t xml:space="preserve">Amount Approved  Rs 20 L
For 2000 cases @ Rs 1,000/- for the Assistance for consu-mables/ drugs/ medicines including IOL to the Govt. Hospital for Cataract surgery.
</t>
  </si>
  <si>
    <t xml:space="preserve">Amount Approved: Rs 2 L
For 100 pairs of eyeball @ Rs 2,000/- per case
</t>
  </si>
  <si>
    <t xml:space="preserve">Amount Approved:  Rs 6.10 L
For 1743 spectacles for school children @Rs. 350/-(max)
</t>
  </si>
  <si>
    <t xml:space="preserve">Amount Approved:  Rs 6.10 L
For 1743 spectacles for old age people @Rs. 350/-(max)
</t>
  </si>
  <si>
    <t xml:space="preserve">Amount Approved Rs 1 L
For 50 cases@ Rs 2,000/- per case
</t>
  </si>
  <si>
    <t xml:space="preserve">Amount Approved:  Rs 6.00 L
For 1714 spectacles for school children @Rs. 350/-(max)
</t>
  </si>
  <si>
    <t xml:space="preserve">Amount Approved:  Rs 6.00 L
For 1714 spectacles for old age people @Rs. 350/-(max)
</t>
  </si>
  <si>
    <t xml:space="preserve">Amount Approved  Rs 15 L
For 1500 cases @ Rs 1,000/- for the Assistance for consu-mables/ drugs/ medicines including IOL to the Govt. Hospital for Cataract surgery.
</t>
  </si>
  <si>
    <t xml:space="preserve">Amount Approved:  Rs 4.60 L
For 1314 spectacles for school children @Rs. 350/-(max)
</t>
  </si>
  <si>
    <t xml:space="preserve">Amount Approved:  Rs 4.60 L
For 1314 spectacles for old age people @Rs. 350/-(max)
</t>
  </si>
  <si>
    <t xml:space="preserve">Amount Approved  Rs 22 L
For 2200 cases @ Rs 1,000/- for the Assistance for con-sumables/ drugs/ medicines including IOL to the Govt. Hospital for Cataract surgery.
</t>
  </si>
  <si>
    <t xml:space="preserve">Amount Approved Rs 3.25 L
20 cases of Diabetic Retinopathy @ 2,000 – Rs.0.40 L
10 cases of Childhood Blindness @ Rs.2,000 – Rs 0.20 L
20 cases of Glaucoma @ Rs.2000 – Rs 0.40 L
10 Cases of Keratoplasty @ Rs 7,500- Rs 0.75 Lakhs
15 Cases of Vitreoretinal Surgery @Rs.10,000/- Rs 1.50 Lakhs
</t>
  </si>
  <si>
    <t xml:space="preserve">Amount Approved: Rs 16 L
For 800 pairs of eye ball @ Rs 2,000/- per case
</t>
  </si>
  <si>
    <t xml:space="preserve">Amount Approved:  Rs 8.75 L
For 2500 spectacles for school children @Rs. 350/-(max)
</t>
  </si>
  <si>
    <t xml:space="preserve">Amount Approved:  Rs 8.75 L
For 2500 spectacles for old age people @Rs. 350/-(max)
</t>
  </si>
  <si>
    <t xml:space="preserve">Amount Approved  Rs 20 L
For 2000 cases @ Rs 1,000/- for the Assistance for consumables/ drugs/ medicines including IOL to the Govt. Hospital for Cataract surgery.
</t>
  </si>
  <si>
    <t xml:space="preserve">Amount Approved: Rs 1 L
For 50 pairs of eyeball @ Rs 2,000/- per case
</t>
  </si>
  <si>
    <t xml:space="preserve">Amount Approved: Rs 0.50 L
For 25 pairs of eyeball @ Rs 2,000/- per case
</t>
  </si>
  <si>
    <t xml:space="preserve">Amount Approved  Rs 24 L
For 2400 cases @ Rs 1,000/- for the Assistance for consu-mables/ drugs/ medicines including IOL to the Govt. Hospital for Cataract surgery.
</t>
  </si>
  <si>
    <t xml:space="preserve">Amount Approved: Rs 2.20 L
For 110 pairs of eyeball @ Rs 2,000/- per case
</t>
  </si>
  <si>
    <t xml:space="preserve">Amount Approved:  Rs 7.00 L
For 2000 spectacles for school children @Rs. 350/-(max)
</t>
  </si>
  <si>
    <t xml:space="preserve">Amount Approved:  Rs 7.00 L
For 2000 spectacles for old age people @Rs. 350/-(max)
</t>
  </si>
  <si>
    <t xml:space="preserve">Amount Approved  Rs 14 L
For 1400 cases @ Rs 1,000/- for the Assistance for consu-mables/ drugs/ medicines including IOL to the Govt. Hospital for Cataract surgery.
</t>
  </si>
  <si>
    <t xml:space="preserve">Amount Approved: Rs 1.00 L
For 50 pairs of eyeball @ Rs 2,000/- per case
</t>
  </si>
  <si>
    <t xml:space="preserve">Amount Approved  Rs 24 L
For 2400 cases @ Rs 1,000/- for the Assistance for consumables/ drugs/ medicines including IOL to the Govt. Hospital for Cataract surgery.
</t>
  </si>
  <si>
    <t xml:space="preserve">Amount Approved  Rs 10 L
For 1000 cases @ Rs 1,000/- for the Assistance for consu-mables/ drugs/ medicines including IOL to the Govt. Hospital for Cataract surgery.
</t>
  </si>
  <si>
    <t xml:space="preserve">Amount Approved:  Rs 4.40 L
For 1743 spectacles for school children @Rs. 350/-(max)
</t>
  </si>
  <si>
    <t xml:space="preserve">Amount Approved:  Rs 4.40 L
For 1743 spectacles for old age people @Rs. 350/-(max)
</t>
  </si>
  <si>
    <t xml:space="preserve">OOC -a.camps at 12GP @ 30000/camp 
b. Tribal Mental Health interventions .2L/Camp for 5 
c. Mental Health Interventions in Coastal Areas .2L/Camp for 5 
d. Workplace Intervention in Rs. 0.5 L/ institutions 
e. operational expenses, travel expenses &amp; misc expenses of the dist centre Rs. 5.5 L </t>
  </si>
  <si>
    <t>Operational Costs  for  district  (Internet Charges, office expenses, operating expenses, contingency, admin expenses, Telephone charges and other miscellaneous).</t>
  </si>
  <si>
    <t xml:space="preserve"> Innovation to conduct multispecialty comprehensive geriatric assessment camp at around Old Age Homes Rs. 0.05 L x 56 Old Age Homes The services include screening, investigation, management and rehabilitation.</t>
  </si>
  <si>
    <t>Activities include both indoor and outdoor activities like tobacco free school, school level task force formation &amp; meetings, awareness generation campaigns etc at Schools &amp; Colleges 
 2L /district
 No smoking board, Posters, Formation of Tobacco control committee and conduction of Tobacco control meetings, Competitions and appreciations etc.</t>
  </si>
  <si>
    <t>Cost of STEMI Equipments</t>
  </si>
  <si>
    <t xml:space="preserve">*Infrastructure &amp; civil work
Retrofitting for Model Climate-Disaster Resilient healthcare facility : *equipments for establishing heat stroke clinics at DH/SDH/CHC hospitals
*Greening &amp; Climate Disaster Resilient HCF( Energy Auditing, LED replacement, Energy Efficient equipments, Rainwater Harvesting , Solarization etc)     </t>
  </si>
  <si>
    <t>Conducting 15Dental camps(Rs 15000/One camp)</t>
  </si>
  <si>
    <t>1. Purchase of Dental Consumables as per the NEED of Institutions. 10 Dental Units (SDH an CHC)</t>
  </si>
  <si>
    <t>OOC: Rs 5 L Others including operating costs. Miscellaneous including Travel/ POL/ Stationary/ Communications/ Drugs etc.</t>
  </si>
  <si>
    <t xml:space="preserve">OOC -a.camps at 10GP @ 30000/camp 
b. Tribal Mental Health interventions .2L/Camp for 5 
c. Mental Health Interventions in Coastal Areas .2L/Camp for 5 
d. Workplace Intervention in Rs. 0.5 L/ institutions 
e. operational expenses, travel expenses &amp; misc expenses of the dist centre Rs. 5.5 L </t>
  </si>
  <si>
    <t xml:space="preserve"> Innovation to conduct multispecialty comprehensive geriatric assessment camp at around Old Age Homes Rs. 0.05 L x 42 Old Age Homes The services include screening, investigation, management and rehabilitation.</t>
  </si>
  <si>
    <t>1. Purchase of Dental Consumables as per the NEED of Institutions. 15 Dental Units (SDH an CHC)</t>
  </si>
  <si>
    <t xml:space="preserve">OOC -a.camps at 10GP @ 30000/camp 
b. Tribal Mental Health interventions .2L/Camp for 5 
d. Workplace Intervention in Rs. 0.5 L/ institutions 
e. operational expenses, travel expenses &amp; misc expenses of the dist centre Rs. 5.5 L </t>
  </si>
  <si>
    <t xml:space="preserve"> Innovation to conduct multispecialty comprehensive geriatric assessment camp at around Old Age Homes Rs. 0.05 L x 43 Old Age Homes The services include screening, investigation, management and rehabilitation.</t>
  </si>
  <si>
    <t xml:space="preserve"> Innovation to conduct multispecialty comprehensive geriatric assessment camp at around Old Age Homes Rs. 0.05 L x 41 Old Age Homes The services include screening, investigation, management and rehabilitation.</t>
  </si>
  <si>
    <t>1. Purchase of Dental Consumables as per the NEED of Institutions. 9 Dental Units (SDH an CHC)</t>
  </si>
  <si>
    <t xml:space="preserve">Diagnostics (Consumables, PPP, Sample Transport) Ion Electrode, Laboratory Equipment’s Ion Electrode Laboratory Equipment’s (Pipettes, Sample Containers) and Lab Reagents (Fluoride standard and Buffer Solution-TISAB III) </t>
  </si>
  <si>
    <t xml:space="preserve">OOC -a.camps at 12GP @ 30000/camp 
b. Tribal Mental Health interventions .2L/Camp for 5 
d. Workplace Intervention in Rs. 0.5 L/ institutions 
e. operational expenses, travel expenses &amp; misc expenses of the dist centre Rs. 5.5 L </t>
  </si>
  <si>
    <t xml:space="preserve"> Innovation to conduct multispecialty comprehensive geriatric assessment camp at around Old Age Homes Rs. 0.05 L x 125 Old Age Homes The services include screening, investigation, management and rehabilitation.</t>
  </si>
  <si>
    <t>1. Purchase of Dental Consumables as per the NEED of Institutions. 7 Dental Units (SDH an CHC)</t>
  </si>
  <si>
    <t xml:space="preserve"> Innovation to conduct multispecialty comprehensive geriatric assessment camp at around Old Age Homes Rs. 0.05 L x 26 Old Age Homes The services include screening, investigation, management and rehabilitation.</t>
  </si>
  <si>
    <t xml:space="preserve"> Innovation to conduct multispecialty comprehensive geriatric assessment camp at around Old Age Homes Rs. 0.05 L x 132 Old Age Homes The services include screening, investigation, management and rehabilitation.</t>
  </si>
  <si>
    <t>1. Purchase of Dental Consumables as per the NEED of Institutions. 19 Dental Units (SDH an CHC)</t>
  </si>
  <si>
    <t>1. Purchase of Dental Consumables as per the NEED of Institutions. 13 Dental Units (SDH an CHC)</t>
  </si>
  <si>
    <t xml:space="preserve"> Innovation to conduct multispecialty comprehensive geriatric assessment camp at around Old Age Homes Rs. 0.05 L x32 Old Age Homes The services include screening, investigation, management and rehabilitation.</t>
  </si>
  <si>
    <t>1. Purchase of Dental Consumables as per the NEED of Institutions. 12 Dental Units (SDH an CHC)</t>
  </si>
  <si>
    <t xml:space="preserve"> Innovation to conduct multispecialty comprehensive geriatric assessment camp at around Old Age Homes Rs. 0.05 L x 11 Old Age Homes The services include screening, investigation, management and rehabilitation.</t>
  </si>
  <si>
    <t xml:space="preserve"> Innovation to conduct multispecialty comprehensive geriatric assessment camp at around Old Age Homes Rs. 0.05 L x 22  Old Age Homes The services include screening, investigation, management and rehabilitation.</t>
  </si>
  <si>
    <t xml:space="preserve"> Innovation to conduct multispecialty comprehensive geriatric assessment camp at around Old Age Homes Rs. 0.05 L x 28 Old Age Homes The services include screening, investigation, management and rehabilitation.</t>
  </si>
  <si>
    <t>1. Purchase of Dental Consumables as per the NEED of Institutions. 8 Dental Units (SDH an CHC)</t>
  </si>
  <si>
    <t xml:space="preserve"> Innovation to conduct multispecialty comprehensive geriatric assessment camp at around Old Age Homes Rs. 0.05 L x 50 Old Age Homes The services include screening, investigation, management and rehabilitation.</t>
  </si>
  <si>
    <t>1. Purchase of Dental Consumables as per the NEED of Institutions. 24Dental Units (SDH an CHC)</t>
  </si>
  <si>
    <t xml:space="preserve"> Innovation to conduct multispecialty comprehensive geriatric assessment camp at around Old Age Homes Rs. 0.05 L x 20 Old Age Homes The services include screening, investigation, management and rehabilitation.</t>
  </si>
  <si>
    <t>Equipment : 40 L 
Proposing at  GH- Pathanamthitta
2.Rs.1057 revalidation</t>
  </si>
  <si>
    <t>4 boats
a) 3 Rental boats @ Rs 50000 per month x 12 months
b) 1 Rental boat @ Rs 65000 per month x 12 months
HR to be provided from NHM Pool</t>
  </si>
  <si>
    <t>a) 1 Rented Vehicle, Rs 40000 * 12
HR to be provided through NHM</t>
  </si>
  <si>
    <t>a) 1 Rented Vehicle at Aralam Farm - Monthly Rent @ Rs50000 per month x  12 months 
b)  PoL &amp; Maintenance for  MP Fund vehicle @ Rs25000 per month x 12 months
HR to be provided from NHM Pool including driver</t>
  </si>
  <si>
    <t>30 MMUS</t>
  </si>
  <si>
    <t>Mobility support of ₹2,500 per month is provided to UPHCs/UHWCs to facilitate outreach services such as immunization sessions, Urban Health and Nutrition Days (UHNDs), and related community health activities etc.  102 UPHCs and 2 UCHCs. Details attached in the District-wise Note</t>
  </si>
  <si>
    <t>Financial assistance of ₹50,000/UPHCs  to facilitate NQAS accreditation of the identified health facilities. Details attached in the District-wise Note</t>
  </si>
  <si>
    <t>The Kayakalp programme includes Internal Assessment at ₹500 per UPHC, Peer Assessment at ₹5,000 per UPHC, and External Assessment at ₹8,000 per UPHC. Details attached in the District-wise Note</t>
  </si>
  <si>
    <t>Salary for  Service Delivery Staffs, Programme Management Staffs and supporting Staffs. Details attached in the District-wise Note</t>
  </si>
  <si>
    <t>Support is provided for programme planning and management, including vehicle hiring at ₹40,000 per month and administrative expenses amounting to ₹10,000 per month  for review meetings, workshops, and other programme management activities. Details attached in the District-wise Note</t>
  </si>
  <si>
    <t>Untied grants of ₹3,000 per Mahila Arogya Samiti (MAS) are provided to support community-based health promotion initiatives and address local health needs.Details attached in the District-wise Note</t>
  </si>
  <si>
    <t xml:space="preserve"> 1. Mobility Support: One vehicle for the  State Programme Management Support Unit (SPMSU) @ Rs. 55,000 per month (Rs. 6.60 Lakhs) to facilitate programme monitoring, supervision, and field visits. 2. administrative expenses amounting to ₹10,000 per month  for review meetings, workshops, and other programme management activities.</t>
  </si>
  <si>
    <t>Details given in IT Annexure for the FY 26-27</t>
  </si>
  <si>
    <t xml:space="preserve">Details given in IEC/BCC Annexure </t>
  </si>
  <si>
    <t xml:space="preserve">Others Including Operating Costs (OOC) –A total of Rs.64.53 Lakh approved for the following expenses
a.Rs.61.78 Lakh NQAS Assessment (State/ National DH-1,TH-THQH -1,CHC-1,PHC- 14,AAM-SC – 38 Total 55 institutions ) (unit cost as per NQAS State and National assessment in NQAS Operational guideline 2021.)
b.Rs.1.75 Lakh for NQAS Gap closure activities
c. Rs. 1 Lakh IPHL Lab NQAS Certification (State/ National certification) 
</t>
  </si>
  <si>
    <t xml:space="preserve">Diagnostics (Consumables,PPP,Sample Transport)- Rs.13 Lakh - Cost of consumables related to implementation of infection control facilities for 5 DH and 8 TH-THQH Hospitals @ Rs.1 Lakh per facility.
Others Including Operating Costs (OOC) –
1..Rs.8.518 Lakh Expenses for Kayakalp PEER Assessment of Institutions.
a. Rs.1.25Lakh DH Level PEER Assessment @ Rs.0.25 Lakh each for 5 DH.
b. Rs.3.90 Lakh SDH/CHC Hospital @ Rs.0.13Lakh each for 30 SDH/CHC.
c. Rs.1.42 Lakh for PEER Assessment of PHC @ Rs.0.02 Lakh each for 71 PHC
d. Rs.1.948 Lakh for PEER Assessment of 97 AAM-SHC (20% AAM-SHC)@ Rs.0.02 Lakh
2.Rs.13 Lakh for Gap closure @ Rs.1 Lakh each for 5 DH and 8 TH-THQH Hospitals.
3.Rs.0.50Lakh for Contingencies - District level Award function, District assessment, Pest control measures, Biomedical etc)
</t>
  </si>
  <si>
    <t xml:space="preserve">Others Including Operating Costs (OOC) –A total of Rs.54.86 Lakh approved for the following expenses
a.Rs.53.11 Lakh NQAS Assessment (State/ National DH-1,TH-THQH -1,CHC-1,PHC- 12,AAM-SC – 34 Total 49 institutions )(unit cost as per NQAS State and National assessment in NQAS Operational guideline 2021.)
b.Rs.1.75 Lakh for NQAS Gap closure activities 
</t>
  </si>
  <si>
    <t xml:space="preserve">Diagnostics (Consumables,PPP,Sample Transport)- Rs.11 Lakh - Cost of consumables related to implementation of infection control facilities for 2 DH and 9 TH-THQH Hospitals @ Rs.1 Lakh per facility.
Others Including Operating Costs (OOC) –
1.Rs.6.594 Lakh Expenses for Kayakalp PEER Assessment of Institutions.
a. Rs.0.50Lakh DH Level PEER Assessment @ Rs.0.25 Lakh each for 2 DH.
b. Rs.3.25 Lakh SDH/CHC Hospital @ Rs.0.13Lakh each for 25 SDH/CHC.
c. Rs.1.16 Lakh for PEER Assessment of PHC @ Rs.0.02 Lakh each for 58 PHC
d. Rs.1.684 Lakh for PEER Assessment of 84 AAM-SHC (20% AAM-SHC)@ Rs.0.02 Lakh
2.Rs.11 Lakh for Gap closure @ Rs.1 Lakh each for 2 DH and 9 TH-THQH Hospitals.
3.Rs.0.50Lakh for Contingencies - District level Award function, District assessment, Pest control measures, Biomedical etc) 
</t>
  </si>
  <si>
    <t xml:space="preserve">Others Including Operating Costs (OOC) –A total of Rs.38.48 Lakh approved for the following expenses
a.Rs.35.73 Lakh NQAS Assessment (State/ National DH-1,TH-THQH -1,CHC-1,PHC- 9,AAM-SC – 20 Total 32 institutions ) (unit cost as per NQAS State and National assessment in NQAS Operational guideline 2021.)
b.Rs.1.75 Lakh for NQAS Gap closure activities 
c. Rs. 1 Lakh IPHL Lab NQAS Certification (State/ National certification)
</t>
  </si>
  <si>
    <t xml:space="preserve">Diagnostics (Consumables,PPP,Sample Transport)- Rs.7 Lakh - Cost of consumables related to implementation of infection control facilities for 3 DH and 4 TH-THQH Hospitals @ Rs.1 Lakh per facility.
Others Including Operating Costs (OOC) –
1..Rs.4.734 Lakh Expenses for Kayakalp PEER Assessment of Institutions.
a. Rs.0.75Lakh DH Level PEER Assessment @ Rs.0.25 Lakh each for 3 DH.
b. Rs.2.08 Lakh SDH/CHC Hospital @ Rs.0.13Lakh each for 16 SDH/CHC.
c. Rs.0.86 Lakh for PEER Assessment of PHC @ Rs.0.02 Lakh each for 43 PHC
d. Rs.1.044 Lakh for PEER Assessment of 52 AAM-SHC (20% AAM-SHC)@ Rs.0.02 Lakh
2.Rs.7 Lakh for Gap closure @ Rs.1 Lakh each for 3 DH and 4 TH-THQH Hospitals.
3.Rs.0.50Lakh for Contingencies - District level Award function, District assessment, Pest control measures, Biomedical etc) 
</t>
  </si>
  <si>
    <t xml:space="preserve">Others Including Operating Costs (OOC) –A total of Rs.51.24 Lakh approved for the following expenses
a.Rs.48.49 Lakh NQAS Assessment (State/ National DH-1,TH-THQH -1,CHC-1,PHC- 12,AAM-SC – 30 Total 45 institutions )(unit cost as per NQAS State and National assessment in NQAS Operational guideline 2021.)
b.Rs.1.75 Lakh for NQAS Gap closure activities 
c. Rs. 1 Lakh IPHL Lab NQAS Certification (State/ National certification)
</t>
  </si>
  <si>
    <t xml:space="preserve">Diagnostics (Consumables,PPP,Sample Transport)- Rs.10 Lakh - Cost of consumables related to implementation of infection control facilities for 4 DH and 6 TH-THQH Hospitals @ Rs.1 Lakh per facility.
Others Including Operating Costs (OOC) –
1.Rs.6.504 Lakh Expenses for Kayakalp PEER Assessment of Institutions.
a. Rs.1Lakh DH Level PEER Assessment @ Rs.0.25 Lakh each for 4 DH.
b. Rs.2.86 Lakh SDH/CHC Hospital @ Rs.0.13Lakh each for 6 SDH/CHC.
c. Rs.1.18 Lakh for PEER Assessment of PHC @ Rs.0.02 Lakh each for 59 PHC
d. Rs.1.464 Lakh for PEER Assessment of 73 AAM-SHC (20% AAM-SHC)@ Rs.0.02 Lakh
2.Rs.10 Lakh for Gap closure @ Rs.1 Lakh each for  4 DH and 6 TH-THQH Hospitals.
3.Rs.0.50Lakh for Contingencies - District level Award function, District assessment, Pest control measures, Biomedical etc)
</t>
  </si>
  <si>
    <t xml:space="preserve">Others Including Operating Costs (OOC) –A total of Rs. 46.45Lakh approved for the following expenses
a.Rs. 44.70Lakh NQAS Assessment (State/ National DH-1,TH-THQH -1,CHC-1,PHC- 11,AAM-SC – 26 Total 40 institutions )(unit cost as per NQAS State and National assessment in NQAS Operational guideline 2021.)
b.Rs. 1.75Lakh for NQAS Gap closure activities 
</t>
  </si>
  <si>
    <t xml:space="preserve">Diagnostics (Consumables,PPP,Sample Transport)- Rs.7 Lakh - Cost of consumables related to implementation of infection control facilities for 4 DH and 3 TH-THQH Hospitals @ Rs.1 Lakh per facility.
Others Including Operating Costs (OOC) –
1..Rs.6.422 Lakh Expenses for Kayakalp PEER Assessment of Institutions.
a. Rs.1Lakh DH Level PEER Assessment @ Rs.0.25 Lakh each for 4 DH.
b. Rs.2.99 Lakh SDH/CHC Hospital @ Rs.0.13Lakh each for 23 SDH/CHC.
c. Rs.1.10 Lakh for PEER Assessment of PHC @ Rs.0.02 Lakh each for  55 PHC
d. Rs.1.332 Lakh for PEER Assessment of  67 AAM-SHC (20% AAM-SHC)@ Rs.0.02 Lakh
2.Rs.7 Lakh for Gap closure @ Rs.1 Lakh each for 4 DH and 3 TH-THQH Hospitals.
3.Rs.0.50Lakh for Contingencies - District level Award function, District assessment, Pest control measures, Biomedical etc)
Diagnostics (Consumables,PPP,Sample Transport)- Rs.7 Lakh - Cost of consumables related to implementation of infection control facilities for 4 DH and 3 TH-THQH Hospitals @ Rs.1 Lakh per facility.
Others Including Operating Costs (OOC) –
1..Rs.6.422 Lakh Expenses for Kayakalp PEER Assessment of Institutions.
a. Rs.1Lakh DH Level PEER Assessment @ Rs.0.25 Lakh each for 4 DH.
b. Rs.2.99 Lakh SDH/CHC Hospital @ Rs.0.13Lakh each for 23 SDH/CHC.
c. Rs.1.10 Lakh for PEER Assessment of PHC @ Rs.0.02 Lakh each for  55 PHC
d. Rs.1.332 Lakh for PEER Assessment of  67 AAM-SHC (20% AAM-SHC)@ Rs.0.02 Lakh
2.Rs.7 Lakh for Gap closure @ Rs.1 Lakh each for 4 DH and 3 TH-THQH Hospitals.
3.Rs.0.50Lakh for Contingencies - District level Award function, District assessment, Pest control measures, Biomedical etc)
</t>
  </si>
  <si>
    <t xml:space="preserve">Others Including Operating Costs (OOC) –A total of Rs.40.82 Lakh approved for the following expenses
a.Rs.39.07 Lakh NQAS Assessment (State/ National DH-1,TH-THQH -1,CHC-1,PHC- 8,AAM-SC – 24 Total 35 institutions )(unit cost as per NQAS State and National assessment in NQAS Operational guideline 2021.)
b.Rs.1.75 Lakh for NQAS Gap closure activities 
</t>
  </si>
  <si>
    <t xml:space="preserve">Diagnostics (Consumables,PPP,Sample Transport)- Rs.6 Lakh - Cost of consumables related to implementation of infection control facilities for 2 DH and 4 TH-THQH Hospitals @ Rs.1 Lakh per facility.
Others Including Operating Costs (OOC) –
1.Rs.4.726 Lakh Expenses for Kayakalp PEER Assessment of Institutions.
a. Rs.0.50Lakh DH Level PEER Assessment @ Rs.0.25 Lakh each for 2 DH.
b. Rs.2.21 Lakh SDH/CHC Hospital @ Rs.0.13Lakh each for 17 SDH/CHC.
c. Rs.0.78 Lakh for PEER Assessment of PHC @ Rs.0.02 Lakh each for  39 PHC
d. Rs.1.236 Lakh for PEER Assessment of  62 AAM-SHC (20% AAM-SHC)@ Rs.0.02 Lakh
2.Rs.6 Lakh for Gap closure @ Rs.1 Lakh each for 2 DH and 4 TH-THQH Hospitals.
3.Rs.0.50Lakh for Contingencies - District level Award function, District assessment, Pest control measures, Biomedical etc)
</t>
  </si>
  <si>
    <t xml:space="preserve">Others Including Operating Costs (OOC) –A total of Rs.58.63 Lakh approved for the following expenses
a.Rs.55.88 Lakh NQAS Assessment (State/ National DH-1,TH-THQH -1,CHC-1,PHC-15,AAM-SC –33 Total 51 institutions )(unit cost as per NQAS State and National assessment in NQAS Operational guideline 2021.)
b.Rs. 1.75Lakh for NQAS Gap closure activities 
c. Rs.1 Lakh IPHL Lab NQAS Certification (State/ National certification)
</t>
  </si>
  <si>
    <t xml:space="preserve">Diagnostics (Consumables,PPP,Sample Transport)- Rs.15 Lakh - Cost of consumables related to implementation of infection control facilities for 4DH and 11TH-THQH Hospitals @ Rs.1 Lakh per facility.
Others Including Operating Costs (OOC) –
1.Rs.8.56 Lakh Expenses for Kayakalp PEER Assessment of Institutions.
a. Rs.1Lakh DH Level PEER Assessment @ Rs.0.25 Lakh each for  4DH.
b. Rs.4.42 Lakh SDH/CHC Hospital @ Rs.0.13Lakh each for 34 SDH/CHC.
c. Rs. 1.50Lakh for PEER Assessment of PHC @ Rs.0.02 Lakh each for 75  PHC
d. Rs.1.64 Lakh for PEER Assessment of  82 AAM-SHC (20% AAM-SHC) @ Rs.0.02 Lakh
2.Rs. 15Lakh for Gap closure @ Rs.1 Lakh each for   4DH and 11TH-THQH Hospitals
3.Rs.0.50Lakh for Contingencies - District level Award function, District assessment, Pest control measures, Biomedical etc) 
</t>
  </si>
  <si>
    <t xml:space="preserve">Others Including Operating Costs (OOC) –A total of Rs.63.88 Lakh approved for the following expenses
a.Rs.62.13 Lakh NQAS Assessment (State/ National DH-1,TH-THQH-1,CHC-1,PHC-16,AAM-SC- 38 Total 57 institutions )(unit cost as per NQAS State and National assessment in NQAS Operational guideline 2021.)
b.Rs. 1.75Lakh for NQAS Gap closure activities 
</t>
  </si>
  <si>
    <t xml:space="preserve">Diagnostics (Consumables,PPP,Sample Transport)- Rs.9 Lakh - Cost of consumables related to implementation of infection control facilities for 3DH and 6TH-THQH Hospitals @ Rs.1 Lakh per facility.
Others Including Operating Costs (OOC) –
1.Rs.8.114 Lakh Expenses for Kayakalp PEER Assessment of Institutions.
a. Rs.0.75Lakh DH Level PEER Assessment @ Rs.0.25 Lakh each for 3 DH.
b. Rs.3.90 Lakh SDH/CHC Hospital @ Rs.0.13Lakh each for 30 SDH/CHC.
c. Rs.1.58 Lakh for PEER Assessment of PHC @ Rs.0.02 Lakh each for   79PHC
d. Rs.1.884 Lakh for PEER Assessment of   94 AAM-SHC (20% AAM-SHC) @ Rs.0.02 Lakh
2.Rs.9 Lakh for Gap closure @ Rs.1 Lakh each for   3DH and 6TH-THQH Hospitals
3.Rs.0.50Lakh for Contingencies - District level Award function, District assessment, Pest control measures, Biomedical etc)
</t>
  </si>
  <si>
    <t xml:space="preserve">Others Including Operating Costs (OOC) –A total of Rs.67.12 Lakh approved for the following expenses
a.Rs. 64.37Lakh NQAS Assessment (State/ National DH-1,TH-THQH-1,CHC-1,PHC-15,AAM-SC-40 Total 58institutions )(unit cost as per NQAS State and National assessment in NQAS Operational guideline 2021.)
b.Rs. 1.75Lakh for NQAS Gap closure activities 
c. Rs.1 Lakh IPHL Lab NQAS Certification (State/ National certification)
</t>
  </si>
  <si>
    <t xml:space="preserve">Diagnostics (Consumables,PPP,Sample Transport)- Rs.9 Lakh - Cost of consumables related to implementation of infection control facilities for 2DH and 7TH-THQH Hospitals @ Rs.1 Lakh per facility.
Others Including Operating Costs (OOC) –
1.Rs. 7.416 Lakh Expenses for Kayakalp PEER Assessment of Institutions.
a. Rs.0.50Lakh DH Level PEER Assessment @ Rs.0.25 Lakh each for 2 DH.
b. Rs.3.38 Lakh SDH/CHC Hospital @ Rs.0.13Lakh each for 26SDH/CHC.
c. Rs.1.52 Lakh for PEER Assessment of PHC @ Rs.0.02 Lakh each for  76 PHC
d. Rs.2.016 Lakh for PEER Assessment of    101 AAM-SHC (20% AAM-SHC) @ Rs.0.02 Lakh
2.Rs.9 Lakh for Gap closure @ Rs.1 Lakh each for   2DH and 7TH-THQH Hospitals
3.Rs.0.50Lakh for Contingencies - District level Award function, District assessment, Pest control measures, Biomedical etc)
</t>
  </si>
  <si>
    <t xml:space="preserve">Others Including Operating Costs (OOC) –A total of Rs.75.36 Lakh approved for the following expenses
a.Rs.73.61 Lakh NQAS Assessment (State/ National DH-1,TH-THQH-1,CHC-1,PHC-17,AAM-SC-48 Total 68institutions )(unit cost as per NQAS State and National assessment in NQAS Operational guideline 2021.)
b.Rs. 1.75Lakh for NQAS Gap closure activities 
</t>
  </si>
  <si>
    <t xml:space="preserve">Diagnostics (Consumables,PPP,Sample Transport)- Rs.11 Lakh - Cost of consumables related to implementation of infection control facilities for 4DH and 7TH-THQH Hospitals @ Rs.1 Lakh per facility.
Others Including Operating Costs (OOC) –
1.Rs.8.676 Lakh Expenses for Kayakalp PEER Assessment of Institutions.
a. Rs.1Lakh DH Level PEER Assessment @ Rs.0.25 Lakh each for  4DH.
b. Rs. 3.64Lakh SDH/CHC Hospital @ Rs.0.13Lakh each for 28SDH/CHC.
c. Rs. 1.68Lakh for PEER Assessment of PHC @ Rs.0.02 Lakh each for  84 PHC
d. Rs.2.356 Lakh for PEER Assessment of     118AAM-SHC (20% AAM-SHC) @ Rs.0.02 Lakh
2.Rs.11 Lakh for Gap closure @ Rs.1 Lakh each for   4DH and 7TH-THQH Hospitals
3.Rs.0.50Lakh for Contingencies - District level Award function, District assessment, Pest control measures, Biomedical etc) 
</t>
  </si>
  <si>
    <t xml:space="preserve">Others Including Operating Costs (OOC) –A total of Rs. 54.42 Lakh approved for the following expenses
a.Rs. 52.67Lakh NQAS Assessment (State/ National DH-1,TH-THQH-1,CHC-1,PHC-13,AAM-SC-32 Total 48 institutions )(unit cost as per NQAS State and National assessment in NQAS Operational guideline 2021.)
b.Rs. 1.75Lakh for NQAS Gap closure activities 
</t>
  </si>
  <si>
    <t xml:space="preserve">Diagnostics (Consumables,PPP,Sample Transport)- Rs.9 Lakh - Cost of consumables related to implementation of infection control facilities for 3 DH and 6TH-THQH Hospitals @ Rs.1 Lakh per facility.
Others Including Operating Costs (OOC) –
1.Rs.6.494 Lakh Expenses for Kayakalp PEER Assessment of Institutions.
a. Rs.0.75 Lakh DH Level PEER Assessment @ Rs.0.25 Lakh each for 3 DH.
b. Rs.2.86 Lakh SDH/CHC Hospital @ Rs.0.13Lakh each for 22SDH/CHC.
c. Rs.1.28 Lakh for PEER Assessment of PHC @ Rs.0.02 Lakh each for 64 PHC
d. Rs.1.604 Lakh for PEER Assessment of     80 AAM-SHC (20% AAM-SHC) @ Rs.0.02 Lakh
2.Rs.9 Lakh for Gap closure @ Rs.1 Lakh each for   DH and TH-THQH Hospitals
3.Rs.0.50Lakh for Contingencies - District level Award function, District assessment, Pest control measures, Biomedical etc) 
</t>
  </si>
  <si>
    <t xml:space="preserve">Others Including Operating Costs (OOC) –A total of Rs.27.71 Lakh approved for the following expenses
a.Rs.25.96 Lakh NQAS Assessment (State/ National DH-1,TH-THQH-1,CHC-1,PHC-5,AAM-SC-16 Total 24institutions )(unit cost as per NQAS State and National assessment in NQAS Operational guideline 2021.)
b.Rs. 1.75Lakh for NQAS Gap closure activities 
</t>
  </si>
  <si>
    <t xml:space="preserve">Diagnostics (Consumables,PPP,Sample Transport)- Rs.4 Lakh - Cost of consumables related to implementation of infection control facilities for 2DH and 2TH-THQH Hospitals @ Rs.1 Lakh per facility.
Others Including Operating Costs (OOC) –
1.Rs.3.19 Lakh Expenses for Kayakalp PEER Assessment of Institutions.
a. Rs.0.50Lakh DH Level PEER Assessment @ Rs.0.25 Lakh each for 2 DH.
b. Rs.1.43 Lakh SDH/CHC Hospital @ Rs.0.13Lakh each for 11SDH/CHC.
c. Rs.0.46 Lakh for PEER Assessment of PHC @ Rs.0.02 Lakh each for 23 PHC
d. Rs.0.80 Lakh for PEER Assessment of     40AAM-SHC (20% AAM-SHC) @ Rs.0.02 Lakh
2.Rs. 4Lakh for Gap closure @ Rs.1 Lakh each for   DH and TH-THQH Hospitals
3.Rs.0.50Lakh for Contingencies - District level Award function, District assessment, Pest control measures, Biomedical etc) 
</t>
  </si>
  <si>
    <t xml:space="preserve">Others Including Operating Costs (OOC) –A total of Rs.60.26 Lakh approved for the following expenses
a.Rs.57.51 Lakh NQAS Assessment (State/ National DH-1,TH-THQH-1,CHC-1,PHC-16,AAM-SC-34 Total 53 institutions )(unit cost as per NQAS State and National assessment in NQAS Operational guideline 2021.)
b.Rs. 1.75Lakh for NQAS Gap closure activities 
Rs.1 Lakh IPHL Lab NQAS Certification (State/ National certification)
c. Rs.1 Lakh IPHL Lab NQAS Certification (State/ National certification)
</t>
  </si>
  <si>
    <t xml:space="preserve">Diagnostics (Consumables,PPP,Sample Transport)- Rs.13 Lakh - Cost of consumables related to implementation of infection control facilities for 3DH and 10 TH-THQH Hospitals @ Rs.1 Lakh per facility.
Others Including Operating Costs (OOC) –
1.Rs.6.614 Lakh Expenses for Kayakalp PEER Assessment of Institutions.
a. Rs.0.75Lakh DH Level PEER Assessment @ Rs.0.25 Lakh each for 3 DH.
b. Rs.2.60 Lakh SDH/CHC Hospital @ Rs.0.13Lakh each for 20SDH/CHC.
c. Rs.1.60 Lakh for PEER Assessment of PHC @ Rs.0.02 Lakh each for 80 PHC
d. Rs.1.664 Lakh for PEER Assessment of     83 AAM-SHC (20% AAM-SHC) @ Rs.0.02 Lakh
2.Rs.13 Lakh for Gap closure @ Rs.1 Lakh each for   3DH and 10 TH-THQH Hospitals
3.Rs.0.50Lakh for Contingencies - District level Award function, District assessment, Pest control measures, Biomedical etc) 
</t>
  </si>
  <si>
    <t xml:space="preserve">Others Including Operating Costs (OOC) –A total of Rs.35.59 Lakh approved for the following expenses
a.Rs.33.84 Lakh NQAS Assessment (State/ National DH-1,TH-THQH-1,CHC-1,PHC-8,AAM-SC-20 Total 31 institutions )(unit cost as per NQAS State and National assessment in NQAS Operational guideline 2021.)
b.Rs. 1.75Lakh for NQAS Gap closure activities 
</t>
  </si>
  <si>
    <t xml:space="preserve">Diagnostics (Consumables,PPP,Sample Transport)- Rs.8 Lakh - Cost of consumables related to implementation of infection control facilities for 3 DH and 5 TH-THQH Hospitals @ Rs.1 Lakh per facility.
Others Including Operating Costs (OOC) –
1.Rs.3.968 Lakh Expenses for Kayakalp PEER Assessment of Institutions.
a. Rs.0.75Lakh DH Level PEER Assessment @ Rs.0.25 Lakh each for 3 DH.
b. Rs.1.43 Lakh SDH/CHC Hospital @ Rs.0.13Lakh each for 11 SDH/CHC.
c. Rs.0.80 Lakh for PEER Assessment of PHC @ Rs.0.02 Lakh each for 40 PHC
d. Rs.0.988 Lakh for PEER Assessment of     49 AAM-SHC (20% AAM-SHC) @ Rs.0.02 Lakh
2.Rs.8 Lakh for Gap closure @ Rs.1 Lakh each for  3 DH and 5 TH-THQH Hospitals 
3.Rs.0.50Lakh for Contingencies - District level Award function, District assessment, Pest control measures, Biomedical etc) 
</t>
  </si>
  <si>
    <t xml:space="preserve">Others Including Operating Costs (OOC) –A total of Rs.1464.43 Lakh approved for the following expenses
a.Rs. 20.96 L for Quality Assurance Certification ,Recertification( National, State and Surveillance)  
b.Rs 1442.47 L for incentives (Rs 1337.47L NQAS incentives,Rs.66 L for MusQan incentives under the validity period,Rs.39 L for LaQshya incentives for facilities under validity.
c. Rs. 1 Lakh IPHL Lab NQAS Certification (State/ National certification) 
</t>
  </si>
  <si>
    <t xml:space="preserve">Others Including Operating Costs (OOC) –
Rs.376.4L approved for State Level Activities                                                                                   1. Total 27.50L is approved for Kayakalp State External Assessment –
Rs.0.25L*30DH = Rs.7.5L
Rs.0.25L*80SDH = Rs.20L
2.Total 311.90L for Kayakalp Award                                                 Award Money for 
Best DH Rs.50L
Runner Up DH Hospital Rs.20L
Commendation Award DH Rs.3Lx28DH=84L
Award Money for Best SDH Rs.15L
Runner Up SDH Rs.10L
Commendation Award SDH Rs.1Lx 50SDH=50L
Award For Best PHC for each District Rs.2Lx14Dist=28L                                                                   
Commendation Award for PHC  Rs.0.50x28PHC=14L                                                          Best AAM-SC 1L *14 = 14L
1st Runner Up AAM-SC Rs.0.50L*14Dist=7L                                                                  2nd Runner UP AAM-SC Rs.0.35*14Dist = 4.90L                                                                                                                           Best Eco friendly DH = 10L                                                                                  Best Eco friendly SDH/CHC = 5L
3.  Total 17L Support for the 
implementation of Kayakalp particularly in relation waste management and transversing the gaps observed in their domain during IA/Peer assessments.
Includes purchase of colour coded bins, puncture proof box, colour coded bags, payment to biomedical waste treatment facility etc. IEC/SOPs/consumables related to BMW management, laundry/ power laundry
1 Lakh* 17 Selected Hospitals =17L 
4.Contingencies –Rs.20L (Kayakalp Award Function in state level etc)
</t>
  </si>
  <si>
    <t>Others including operating costs (OOC) – Rs.2246.84 L
1. Rs. 733.87 L Proposed for Quality Assurance Certification ,Recertification( National, State and Surveillance)  
                                                                                                                    a.National Assessment- NQAS  Rs.376.26.L                                                                                                                                      DH/SDH - (2.10L*10 hosp)- 21L                                                                                                                                    CHC (1.46 *5 hosp) - 7.30L                                                                                                                                             PHC (1.20 *200 hosp)- 240L                                                                                                                                           AAM-SC (0.96 *70 hosp) - 67.20L
AAM-SC Virtual Assessment (0.06 * 600)-36L   
NQAS certification MCH/DH – (1.19L*4 hosp) – 4.76L (4 institutions application given in march for separate LaQshya/MusQan National Assessments  )
b.State  Assessment including Surveillance - NQAS    - Rs.357.61L                                                                                                                             DH/SDH-Rs 0.895L * 10 hosp=8.95L                                                                                                        CHC –Rs 0.63L*14 hosp = 8.82L                                                                                                                PHC – Rs0.43L*300 hosp = 129 L                                                                                                             AAM-SC-Rs0 .28L* 753 hosp - 210.84L
                                                                                      2. 2.Incentivization for Quality for Quality Accredited Institutions  - Rs.1467.47L NQAS/LaQshya/MusQan Incentives ( Rs.33L (LaQshya 12L*2 -24L MusQan  9L *1- 9L) additional proposed for NQAS Incentivization (LaQshya/MusQan ) 
3.New proposal for IPHL NQAS: 
Integrated Public Health Laboratories – NQAS certification Rs.21L
 Assessments District ,State and National - Rs.3L * 7 PH Lab =Rs21L
 District level Activities          
 Rs.24.5L  For gap closure for the NQAS targeted  institutions in the Districts.(Rs.1.75L for each districts)</t>
  </si>
  <si>
    <t>2 Vehicles
a)2 rental vehicle @ Rs 50000 per month x 6 months (1 coastal and 1 Tribal)
 HR to be provided under Opex model once it's in place</t>
  </si>
  <si>
    <t>3 Vehicles
a) 3 rental vehicle @ Rs 60000 per month x 6 months 
HR to be provided under Opex model once it's in place</t>
  </si>
  <si>
    <t>3 Vehicles 
a) 3 x rental vehicle @ Rs 60000 per month x 6 months
HR to be provided under Opex model once it is in place</t>
  </si>
  <si>
    <t>a) 1 Rental Boat @ Rs 65000 per month x 12 months
b) 1 rental vehicle Rs 50000 per month x 6 months
c) 1 Owned Solar boat @ Rs 50000 per month x 12 months (towards maintenance and wages of Laskar and Srank)HR to be provided from NHM Pool for 2 boats from NHM Pool. Laskar &amp; Srank to be given daily wages from same budget head</t>
  </si>
  <si>
    <t xml:space="preserve">a) 2 Vehicles to be hired - @ Rs 50000 per month to be used by existing PHC Staff
b) 3 vehicles already hired by District under Opex model - @2.25 Lakhs per month x 6 months </t>
  </si>
  <si>
    <t>4 vehicles
a)  4 rental vehicle @ Rs 60000 per month x 6 months
HR to be provided under Opex model once it is in place</t>
  </si>
  <si>
    <t>4 Vehicles
a) 4 rental vehicle @ Rs 60000 per month x 6 months HR to be provided under Opex model</t>
  </si>
  <si>
    <t>a) Trivandrum - 2 Vehicles - Opex cost for 6 months (27 Lakhs)
b) Pathanamthitta - 3 Vehicles - Opex cost for 6 months (40.5 Lakhs)
c) Idukki - 3 vehicles - Opex cost for 6 months (40.5 Lakhs)
d) Ernakulam - 1 Vehicle - Opex cost for 6 months (13.5 Lakhs)
e) Palakkad - 3 vehicles - Opex cost for 6 months (40.5 Lakhs)
f) Malappuram - 4 vehicles - Opex cost for 6 months (54 Lakhs)
g) Wayanad - 4 vehicles - Opex cost for 6 months (54 Lakhs)</t>
  </si>
  <si>
    <t xml:space="preserve">1. Equipment - essential and optional equipments available in each DEIC. Proposal amount is different based on the requirements of each unit. Rs. 2.62
2. Diagnostics - Rs 1 lakh for  purchase Consumables
3. OOC - Operational expenses for Rs.10000 per month for TVM DEIC which has separate  new buildings - Rs. 1,20,000/-, 
4. OOC - Referral Support for Secondary/ Tertiary – Rs. 175.529/- Lakhs </t>
  </si>
  <si>
    <t xml:space="preserve">OOC
1. State new-born resource centre– Rs. 1 lakhs , 
2. 2 Functional SNCUs = Rs. 100000x 2 SNCU = Rs.2,00,000/-, 
3. NBCC– approved @ Rs.5,000 for 12 delivery points Rs. 5000x12 Delivery point = 60,000/- ,
 4. Family participatory care (KMC) -Rs. 10000 x 2 SNCUs = 20,000/- , 
5. Mother new-born Care Unit– Rs. 260000 for  SAT Trivandrum. Rs. 100000 x 1 MNCU = 1,00,000/-, 
6.  Operating expenses for  10 NBSU, unit cost 20000 – Rs. 2 lakhs.   </t>
  </si>
  <si>
    <t xml:space="preserve">OOC
1. "ANM Honorarium (FBIR) of Rs 100 per death reported at FBIR  
Rs. 100 per Under 5 Child Deaths @ Community level/ Non-FRU level/ private facilities for 94 Under 5 Deaths.
94 cases * 100 = 0.094/- 
2. Medical Officer Honorarium (Verbal Autopsy) by team of 2 MOs @ Rs.500 
Rs. 500 per Under 5 Child Deaths @ Community level/ Non- FRU level/ private facilities for 94 Under 5 Deaths.
94 cases * 500 = 0.47/-
"                                        
3. Transport of Parents 
Transport of parents @ Rs.100 per case to attend DM level meeting for 36 deceased children.
36  children * 100 = 0.036/-"                                        
    </t>
  </si>
  <si>
    <t xml:space="preserve">Drugs - 4454 cases budgeted for drugs @ Rs.200/-
Diagnostics - 4454 cases budgeted for  diagnostics @ Rs.200/- </t>
  </si>
  <si>
    <t>OOC
4454 cases budgeted for transport @ Rs.700/-</t>
  </si>
  <si>
    <t xml:space="preserve">Equipment - essential and optional equipments available in each DEIC. Proposal amount is different based on the requirements of each unit. Rs. 5.665
Diagnostics -  1 lakh for purchase Consumables
OOC -  1. Operational expenses for Rs.20000 per month for Kollam DEIC - Total amount  = Rs. 2,40,000/-, 2. Referral Support for Secondary/ Tertiary – Rs. 134.806/- Lakhs </t>
  </si>
  <si>
    <t xml:space="preserve">OOC - 
 1. 3 Functional SNCUs = Rs. 100000x 3 SNCU = Rs.3,00,000/-  , 
2. NBCC– approved @ Rs.5000 for 9 delivery points Rs. 5000x9 Delivery point = 45,000/- , 
3. Family participatory care (KMC) -Rs. 10000 x 3 SNCUs = 30,000/-,
 4.  Operating expenses for  3 NBSU – Rs. 20000x 3  NBSU=60,000/-         </t>
  </si>
  <si>
    <t xml:space="preserve">OOC :- 1. "ANM Honorarium (FBIR) of Rs 100 per death reported at FBIR  
Rs. 100 per Under 5 Child Deaths @ Community level/ Non-FRU level/ private facilities for 93 Under 5 Deaths.
93 cases * 100 = 0.093/- 
2. Medical Officer Honorarium (Verbal Autopsy) by team of 2 MOs @ Rs.500 
Rs. 500 per Under 5 Child Deaths @ Community level/ Non- FRU level/ private facilities for 94 Under 5 Deaths.
93 cases * 500 = 0.465/-
"                                        
3. Transport of Parents 
Transport of parents @ Rs.100 per case to attend DM level meeting for 36 deceased children.
36  children * 100 = 0.036/-"                                                            </t>
  </si>
  <si>
    <t xml:space="preserve">Drugs - 2442 cases budgeted for drugs  @ Rs.200/-
Diagnostics - 2442 cases budgeted for diagnostics @ Rs.200/- </t>
  </si>
  <si>
    <t>OOC - 2442 cases budgeted for transport @ Rs.700/-</t>
  </si>
  <si>
    <t xml:space="preserve">Equipment - essential and optional equipments available in each DEIC. Proposal amount is different based on the requirements of each unit. Rs. 5.15797
Diagnostics -  1 lakh for purchase Consumables
OOC -  1. Operational expenses for Rs.10000 per month for Pathanamthitta DEIC. Total amount  = Rs. 1,20,000/-, 
2. Referral Support for Secondary/ Tertiary – Rs. 77.233/- Lakhs </t>
  </si>
  <si>
    <t xml:space="preserve">OOC :- 
1. Functional SNCUs = Rs. 100000x 1 SNCU = Rs.1,00,000/-, 
2. NBSU - 20,000x4 = Rs.80,000/-
3. NBCC– approved @ Rs.5,000 for 5 delivery points = 25,000/-
4. Family participatory care (KMC) -Rs. 10000 x 1 SNCUs = 10,000/-  </t>
  </si>
  <si>
    <t xml:space="preserve">OOC
1. "ANM Honorarium (FBIR) of Rs 100 per death reported at FBIR  
Rs. 100 per Under 5 Child Deaths @ Community level/ Non-FRU level/ private facilities for 92 Under 5 Deaths.
92 cases * 100 = 0.092/- 
2. Medical Officer Honorarium (Verbal Autopsy) by team of 2 MOs @ Rs.500 
Rs. 500 per Under 5 Child Deaths @ Community level/ Non- FRU level/ private facilities for 92 Under 5 Deaths.
92 cases * 500 = 0.460/-
"                                        
3. Transport of Parents 
Transport of parents @ Rs.100 per case to attend DM level meeting for 35 deceased children.
35  children * 100 = 0.035/-"       </t>
  </si>
  <si>
    <t>Drugs - 1469 cases budgeted for drugs  @ Rs.200/- 
Diagnostics  - 1469 cases budgeted for diagnostics @ Rs.200/-</t>
  </si>
  <si>
    <t>OOC
1469 cases budgeted for transport @ Rs.700/-</t>
  </si>
  <si>
    <t xml:space="preserve">OOC :- 1.   Mobility support for RBSK Mobile health team - Incentive for RBSK nurse – Rs.1000*78*12 = Rs.9,36,000/- and 1 vehicles for MHT – Rs.48000*1*12 = Rs. 5,76,000 /- , 2. 83 connections @ Rs.300 per month = 83*300*12 =  2,98,800.     </t>
  </si>
  <si>
    <t xml:space="preserve">Equipment - essential and optional equipments available in each DEIC. Proposal amount is different based on the requirements of each unit. Rs. 7.77639
Diagnostics - 1 lakh for purchase Consumables
OOC -  1. Operational expenses for Rs.20000 per month for Allapuzha DEIC.  Total amount  = Rs. 2,40,000/-, 
2. Referral Support for Secondary/ Tertiary – Rs. 140.423/- Lakhs  </t>
  </si>
  <si>
    <t xml:space="preserve">OOC
1. 2 Functional SNCUs = Rs. 100000x 2 SNCU = Rs.2,00,000/-, 
2. NBCC– approved @ Rs.5,000 for 8 delivery points Rs. 5000x8 Delivery point = 40,000/- , 
3. Family participatory care (KMC) -Rs. 10000 x 2 SNCUs = 20,000/- , 
4. Mother new-born Care Unit– Rs. 100000 for  Alappuzha MCH - Rs. 100000 x 1 MNCU = 1,00,000/-, 
6.  Operating expenses for  4 NBSU * 20000 – Rs. 80,000/-.     </t>
  </si>
  <si>
    <t xml:space="preserve">OOC
   1. "ANM Honorarium (FBIR) of Rs 100 per death reported at FBIR  
Rs. 100 per Under 5 Child Deaths @ Community level/ Non-FRU level/ private facilities for 94 Under 5 Deaths.
94 cases * 100 = 0.094/- 
2. Medical Officer Honorarium (Verbal Autopsy) by team of 2 MOs @ Rs.500 
Rs. 500 per Under 5 Child Deaths @ Community level/ Non- FRU level/ private facilities for 94 Under 5 Deaths.
94 cases * 500 = 0.470/-
"                                        
3. Transport of Parents 
Transport of parents @ Rs.100 per case to attend DM level meeting for 36 deceased children.
36  children * 100 = 0.036/-"   </t>
  </si>
  <si>
    <t>Drugs -  1559 cases budgeted for drugs  @ Rs.200/-Diagnostics - 1559 cases budgeted for  diagnostics @ Rs.200/-</t>
  </si>
  <si>
    <t>OOC
1559 cases budgeted for transport @ Rs.700/-</t>
  </si>
  <si>
    <t xml:space="preserve">OOC :- 1.   Mobility support for RBSK Mobile health team - Incentive for RBSK nurse – Rs.1000*76*12 = Rs.9,12,000/- and 1 vehicles for MHT – Rs.48000*1*12 = Rs. 5,76,000 /- , 2. 80 connections @ Rs.300 per month = 80*300*12 =  2,88,800.           </t>
  </si>
  <si>
    <t xml:space="preserve">Euipment- essential and optional equipments available in each DEIC. Proposal amount is different based on the requirements of each unit. Rs.1.906
Diagnostics - 1 lakh for purchase Consumables
OOC -  1. Operational expenses for Rs.10000 per month for Allapuzha DEIC.  Total amount  = Rs. 1,20,000/-, 
2. Referral Support for Secondary/ Tertiary – Rs. 140.423/- Lakhs  </t>
  </si>
  <si>
    <t xml:space="preserve">OOC - 1. 2 Functional SNCUs = Rs. 100000x 2 SNCU = Rs.2,00,000/-, 
2. NBCC– approved @ Rs.5,000 for 6 delivery points Rs. 5000x6 Delivery point = 30,000/- , 
3. Family participatory care (KMC) -Rs. 10000 x 2 SNCUs = 20,000/- , 
4. Mother new-born Care Unit– Rs. 100000 for  Alappuzha MCH - Rs. 100000 x 1 MNCU = 1,00,000/-, 
6.  Operating expenses for  4 NBSU * 20000 – Rs. 80,000/-.  </t>
  </si>
  <si>
    <t xml:space="preserve">OOC 
 1. "ANM Honorarium (FBIR) of Rs 100 per death reported at FBIR  
Rs. 100 per Under 5 Child Deaths @ Community level/ Non-FRU level/ private facilities for 93 Under 5 Deaths.
93 cases * 100 = 0.093/- 
2. Medical Officer Honorarium (Verbal Autopsy) by team of 2 MOs @ Rs.500 
Rs. 500 per Under 5 Child Deaths @ Community level/ Non- FRU level/ private facilities for 93 Under 5 Deaths.
93 cases * 500 = 0.465/-
"                                        
3. Transport of Parents 
Transport of parents @ Rs.100 per case to attend DM level meeting for 36 deceased children.
36  children * 100 = 0.036/-"          </t>
  </si>
  <si>
    <t>Drugs - 2288 cases budgeted for drugs  @ Rs.200/-Diagnostics - 2288 cases budgeted for diagnostics @ Rs.200/-</t>
  </si>
  <si>
    <t>OOC 
2288 cases budgeted for transport @ Rs.700/-</t>
  </si>
  <si>
    <t xml:space="preserve">equipment - essential and optional equipments available in each DEIC. Proposal amount is different based on the requirements of each unit. Rs.6.3975
Diagnostics - 1 lakh for purchase Consumables
OOC -  1. Operational expenses for Rs.10000 per month for Allapuzha DEIC.  Total amount  = Rs. 1,20,000/-, 
2. Referral Support for Secondary/ Tertiary – Rs. 77.233/- Lakhs  </t>
  </si>
  <si>
    <t>OOC
1. NBCC– approved @ Rs.5000 for 5 delivery points Rs. 5000x5 Delivery point = 25,000/- , 
2. Operating expenses for  4 NBSU * 20000 – Rs. 80,000</t>
  </si>
  <si>
    <t xml:space="preserve">OOC
    1. "ANM Honorarium (FBIR) of Rs 100 per death reported at FBIR  
Rs. 100 per Under 5 Child Deaths @ Community level/ Non-FRU level/ private facilities for 92 Under 5 Deaths.
92 cases * 100 = 0.092/- 
2. Medical Officer Honorarium (Verbal Autopsy) by team of 2 MOs @ Rs.500 
Rs. 500 per Under 5 Child Deaths @ Community level/ Non- FRU level/ private facilities for 92 Under 5 Deaths.
92 cases * 500 = 0.460/-
"                                        
3. Transport of Parents 
Transport of parents @ Rs.100 per case to attend DM level meeting for 35 deceased children.
35  children * 100 = 0.035/-"          </t>
  </si>
  <si>
    <t>Drugs - 1118 cases budgeted for drugs @ Rs.200/-
Diagnostics - 1118 cases budgeted for  diagnostics @ Rs.200/-</t>
  </si>
  <si>
    <t>OOC 
1118 cases budgeted for transport @ Rs.700/-</t>
  </si>
  <si>
    <t xml:space="preserve">OOC :- 1.   Mobility support for RBSK Mobile health team - Incentive for RBSK nurse – Rs.1000*100*12 = Rs.12,00,000/- and 1 vehicles for MHT – Rs.48000*1*12 = Rs. 5,76,000 /- , 2. 105 connections @ Rs.300 per month = 105*300*12 =  3,78,000.          </t>
  </si>
  <si>
    <t xml:space="preserve">euipment - essential and optional equipments available in each DEIC. Proposal amount is different based on the requirements of each unit. Rs. 21.1595
Diagnostics - 1 lakh for purchase Consumables
OOC -1. Operational expenses for Rs.10000 per month for Allapuzha DEIC.  Total amount  = Rs. 1,20,000/-, 
2. Referral Support for Secondary/ Tertiary – Rs. 280.846/- Lakhs  </t>
  </si>
  <si>
    <t xml:space="preserve">OOC - 1. 2 Functional SNCUs = Rs. 100000x 2 SNCU = Rs.2,00,000/-, 
2. NBCC– approved @ Rs.5,000 for 9 delivery points Rs. 5000x9 Delivery point = 45,000/- , 
3. Family participatory care (KMC) -Rs. 10000 x 2 SNCUs = 20,000/- , 
5 Operating expenses for  7 NBSU * 20000 – Rs. 1.40 lakhs.     </t>
  </si>
  <si>
    <t xml:space="preserve">OOC
      1. "ANM Honorarium (FBIR) of Rs 100 per death reported at FBIR  
Rs. 100 per Under 5 Child Deaths @ Community level/ Non-FRU level/ private facilities for 94 Under 5 Deaths.
94 cases * 100 = 0.094/- 
2. Medical Officer Honorarium (Verbal Autopsy) by team of 2 MOs @ Rs.500 
Rs. 500 per Under 5 Child Deaths @ Community level/ Non- FRU level/ private facilities for 94 Under 5 Deaths.
94 cases * 500 = 0.470/-
"                                        
3. Transport of Parents 
Transport of parents @ Rs.100 per case to attend DM level meeting for 36 deceased children.
36  children * 100 = 0.036/-"  </t>
  </si>
  <si>
    <t>Drugs - 4120 cases budgeted for drugs  @ Rs.200/
diagnostics - 4120 cases budgeted for diagnostics @ Rs.200/</t>
  </si>
  <si>
    <t>OOC
4120 cases budgeted for transport @ Rs.700/-</t>
  </si>
  <si>
    <t xml:space="preserve">OOC :-  1. Mobility support for RBSK Mobile health team-  Incentive for RBSK nurse – Rs.1000*96*12 = Rs.11,52,000/- and 1 vehicles for MHT – Rs.48000*1*12 = Rs. 5,76,000 /- , 101 connections @ Rs.300 per month = 101*300*12 =  3,63,600.     </t>
  </si>
  <si>
    <t xml:space="preserve">Equiemnt - essential and optional equipments available in each DEIC. Proposal amount is different based on the requirements of each unit. Rs. 3.227
Diagnostics  - 1 lakh for purchase Consumables
OOC- 1. Operational expenses for Rs.20000 per month for Thrissur DEIC - Rs. 2,40,000/-, 
2. Referral Support for Secondary/ Tertiary – Rs.238.719/- Lakhs </t>
  </si>
  <si>
    <t xml:space="preserve">OOC
1. 2 Functional SNCUs = Rs. 100000x 2 SNCU = Rs.2,00,000/-, 
2. NBCC– approved @ Rs.5,000 for 8 delivery points Rs. 5000x8 Delivery point = 40,000/- , 
3. Family participatory care (KMC) -Rs. 10000 x 2 SNCUs = 20,000/- , 
4. Mother new-born Care Unit– Rs. 100000 for  TSR MCH - Rs. 100000 x 1 MNCU = 1,00,000/-, 
6.  Operating expenses for  4 NBSU * 20000 – Rs. 80,000/-     </t>
  </si>
  <si>
    <t xml:space="preserve">OOC 
     1. "ANM Honorarium (FBIR) of Rs 100 per death reported at FBIR  
Rs. 100 per Under 5 Child Deaths @ Community level/ Non-FRU level/ private facilities for 93 Under 5 Deaths.
93 cases * 100 = 0.093/- 
2. Medical Officer Honorarium (Verbal Autopsy) by team of 2 MOs @ Rs.500 
Rs. 500 per Under 5 Child Deaths @ Community level/ Non- FRU level/ private facilities for 93 Under 5 Deaths.
93 cases * 500 = 0.465/-
"                                        
3. Transport of Parents 
Transport of parents @ Rs.100 per case to attend DM level meeting for 36 deceased children.
36  children * 100 = 0.036/-"       </t>
  </si>
  <si>
    <t xml:space="preserve">Drugs - 4016 cases budgeted for drugs @ Rs.200/- 
Diagnostics - 4016 cases budgeted for diagnostics @ Rs.200/- </t>
  </si>
  <si>
    <t>OOC- 4016 cases budgeted for transport @ Rs.700/-</t>
  </si>
  <si>
    <t xml:space="preserve">Equipments - essential and optional equipments available in each DEIC. Proposal amount is different based on the requirements of each unit. Rs.3.76
 Diagnostics  - 1 lakh for purchase Consumables
OOC - 1. Operational expenses for Rs.10000 per month for Palakkad DEIC. Total amount = Rs. 1,20,000/-, 2. Referral Support for Secondary/ Tertiary – Rs. 143.934/- Lakhs </t>
  </si>
  <si>
    <t xml:space="preserve">OOC 1. 2 Functional SNCUs = Rs. 100000x 2 SNCU = Rs.2,00,000/-, 
2. NBCC– approved @ Rs.5,000 for 7 delivery points Rs. 5000x7 Delivery point = 35,000/- , 
3. Family participatory care (KMC) -Rs. 10000 x 2 SNCUs = 20,000/- , 
5.  Operating expenses for  4 NBSU * 20000 – Rs. 80,000.     </t>
  </si>
  <si>
    <t xml:space="preserve">OOC
 1. "ANM Honorarium (FBIR) of Rs 100 per death reported at FBIR  
Rs. 100 per Under 5 Child Deaths @ Community level/ Non-FRU level/ private facilities for 94 Under 5 Deaths.
94 cases * 100 = 0.094/- 
2. Medical Officer Honorarium (Verbal Autopsy) by team of 2 MOs @ Rs.500 
Rs. 500 per Under 5 Child Deaths @ Community level/ Non- FRU level/ private facilities for 94 Under 5 Deaths.
94 cases * 500 = 0.470/-
"                                        
3. Transport of Parents 
Transport of parents @ Rs.100 per case to attend DM level meeting for 35 deceased children.
35  children * 100 = 0.035/-"         </t>
  </si>
  <si>
    <t>drugs - 3538 cases budgeted for drugs  @ Rs.200/-
Diagnostics - 3538 cases budgeted for diagnostics @ Rs.200/</t>
  </si>
  <si>
    <t>OOC 3538 cases budgeted for transport @ Rs.700/-</t>
  </si>
  <si>
    <t>OOC :-  1. Mobility support for RBSK Mobile health team-  Incentive for RBSK nurse – Rs.1000*125*12 = Rs.15,00,000/- and 2 vehicles for MHT – Rs.48000*2*12 = Rs. 11,52,000 /- , 131 connections @ Rs.300 per month = 131*300*12 =  4,71,600</t>
  </si>
  <si>
    <t xml:space="preserve">equipment - essential and optional equipments available in each DEIC. Proposal amount is different based on the requirements of each unit. Rs. 2.965
Diagnostics -1 lakh for DEIC Dental Consumables
OOC -1. Operational expenses for Rs.20000 per month for Palakkad DEIC. Total amount = Rs. 2,40,000/-, 2. Referral Support for Secondary/ Tertiary – Rs. 280.846/- Lakhs </t>
  </si>
  <si>
    <t xml:space="preserve">OOC
1. 2 Functional SNCUs = Rs. 100000x 1 SNCU = Rs.1,00,000/-, 
2. NBCC– approved @ Rs.5,000 for 8 delivery points Rs. 5000x8 Delivery point = 40,000/- , 
3. Family participatory care (KMC) -Rs. 10000 x 1 SNCUs = 10,000/- , 
4. Mother new-born Care Unit–  - Rs. 100000 x 1 MNCU = 1,00,000/-, 
6.  Operating expenses for  6 NBSU * 20000 – Rs. 1.20 /-. </t>
  </si>
  <si>
    <t xml:space="preserve">OOC
  1. "ANM Honorarium (FBIR) of Rs 100 per death reported at FBIR  
Rs. 100 per Under 5 Child Deaths @ Community level/ Non-FRU level/ private facilities for 92 Under 5 Deaths.
92 cases * 100 = 0.092/- 
2. Medical Officer Honorarium (Verbal Autopsy) by team of 2 MOs @ Rs.500 
Rs. 500 per Under 5 Child Deaths @ Community level/ Non- FRU level/ private facilities for 92 Under 5 Deaths.
92 cases * 500 = 0.460/-
"                                        
3. Transport of Parents 
Transport of parents @ Rs.100 per case to attend DM level meeting for 36 deceased children.
36  children * 100 = 0.036/-"        </t>
  </si>
  <si>
    <t>Drugs - 10286 cases budgeted for drugs  @ Rs.200/- 
Diagnostics- 10286 cases budgeted for diagnostics @ Rs.200/-</t>
  </si>
  <si>
    <t>OOC 
10286 cases budgeted for transport @ Rs.700/-</t>
  </si>
  <si>
    <t xml:space="preserve">Euipment - essential and optional equipments available in each DEIC. Proposal amount is different based on the requirements of each unit. Rs. 1.3205
Diagnostics - 1lakh for purchase Consumables
OOC - 1. Operational expenses for Rs.10000 per month for Palakkad DEIC. Total amount = Rs. 1,20,000/-, 2. Referral Support for Secondary/ Tertiary – Rs. 280.846/- Lakhs </t>
  </si>
  <si>
    <t xml:space="preserve">OOC 
1. 2 Functional SNCUs = Rs. 100000x 2 SNCU = Rs.2,00,000/-, 
2. NBCC– approved @ Rs.5000 for 8 delivery points Rs. 5000x8 Delivery point = 40,000/- , 
3. Family participatory care (KMC) -Rs. 10000 x 2 SNCUs = 20,000/- , 
4. Mother new-born Care Unit–  - Rs. 100000 x 1 MNCU = 1,00,000/-, 
6.  Operating expenses for  5 NBSU * 20000 – Rs. 1,00,000.   </t>
  </si>
  <si>
    <t xml:space="preserve">OOC
   1. "ANM Honorarium (FBIR) of Rs 100 per death reported at FBIR  
Rs. 100 per Under 5 Child Deaths @ Community level/ Non-FRU level/ private facilities for 93 Under 5 Deaths.
93 cases * 100 = 0.093/- 
2. Medical Officer Honorarium (Verbal Autopsy) by team of 2 MOs @ Rs.500 
Rs. 500 per Under 5 Child Deaths @ Community level/ Non- FRU level/ private facilities for 93 Under 5 Deaths.
93 cases * 500 = 0.465/-
"                                        
3. Transport of Parents 
Transport of parents @ Rs.100 per case to attend DM level meeting for 36 deceased children.
36  children * 100 = 0.036/-"          </t>
  </si>
  <si>
    <t xml:space="preserve">Drugs - 5508 cases budgeted for drugs @ Rs.200/-
Diagnostics  - Drugs and Diagnostics: 5508 cases budgeted for diagnostics @ Rs.200/- </t>
  </si>
  <si>
    <t>OOC
5508 cases budgeted for transport @ Rs.700/-</t>
  </si>
  <si>
    <t xml:space="preserve">Equipment - essential and optional equipments available in each DEIC. Proposal amount is different based on the requirements of each unit.. Rs. 4.05
Diagnostics - 1  lakh for purchase Consumables
OOC - 1. Operational expenses for Rs.20000 per month for Palakkad DEIC. Total amount = Rs. 2,40,000/-, 2. Referral Support for Secondary/ Tertiary – Rs. 140.423/- Lakhs </t>
  </si>
  <si>
    <t xml:space="preserve">OOC 
1. 2 Functional SNCUs = Rs. 100000x 1 SNCU = Rs.1,00,000/-, 
2. NBCC– approved @ Rs.5,000 for 5 delivery points Rs. 5000x5 Delivery point = 25,000/- , 
3. Family participatory care (KMC) -Rs. 10000 x 1 SNCUs = 10,000/- , 
4.  Operating expenses for  4 NBSU * 20000 – Rs. 80,000.     </t>
  </si>
  <si>
    <t xml:space="preserve">OOC 
      1. "ANM Honorarium (FBIR) of Rs 100 per death reported at FBIR  
Rs. 100 per Under 5 Child Deaths @ Community level/ Non-FRU level/ private facilities for 94 Under 5 Deaths.
94 cases * 100 = 0.094/- 
2. Medical Officer Honorarium (Verbal Autopsy) by team of 2 MOs @ Rs.500 
Rs. 500 per Under 5 Child Deaths @ Community level/ Non- FRU level/ private facilities for 94 Under 5 Deaths.
94 cases * 500 = 0.470/-
"                                        
3. Transport of Parents 
Transport of parents @ Rs.100 per case to attend DM level meeting for 36 deceased children.
36  children * 100 = 0.036/-"    </t>
  </si>
  <si>
    <t>Drugs - 1488 cases budgeted for drugs @ Rs.200/-
Diagnostics - 1488 cases budgeted for diagnostics @ Rs.200/-</t>
  </si>
  <si>
    <t>OOC 
1488 cases budgeted for transport @ Rs.700/-</t>
  </si>
  <si>
    <t xml:space="preserve">OOC - Mobility support for RBSK Mobile health team-Incentive for RBSK nurse – Rs.1000*100*12 = Rs.12,00,000/- and 1 vehicles for MHT – Rs.48000*1*12 = Rs. 5,76,000 /- , 106 connections @ Rs.300 per month = 106*300*12 = 3,81,600 </t>
  </si>
  <si>
    <t xml:space="preserve">Equipment - essential and optional equipments available in each DEIC. Proposal amount is different based on the requirements of each unit.. Rs. 12.7955
Diagnostics - 1 lakh for purchase Consumables
OOC - 1. Operational expenses for Rs.20000 per month for Palakkad DEIC. Total amount = Rs. 2,40,000/-, 2. Referral Support for Secondary/ Tertiary – Rs. 210.634/- Lakhs 
</t>
  </si>
  <si>
    <t xml:space="preserve">OOC -1. 2 Functional SNCUs = Rs. 100000x 3 SNCU = Rs.3,00,000/-, 
2. NBCC– approved @ Rs.5,000 for 9 delivery points Rs. 5000x9 Delivery point = 45,000/- , 
3. Family participatory care (KMC) -Rs. 10000 x 3 SNCUs = 30,000/- , 
4.  Operating expenses for  4 NBSU * 20000 – Rs. .80,000     </t>
  </si>
  <si>
    <t xml:space="preserve">OOC 
     1. "ANM Honorarium (FBIR) of Rs 100 per death reported at FBIR  
Rs. 100 per Under 5 Child Deaths @ Community level/ Non-FRU level/ private facilities for 93 Under 5 Deaths.
93 cases * 100 = 0.093/- 
2. Medical Officer Honorarium (Verbal Autopsy) by team of 2 MOs @ Rs.500 
Rs. 500 per Under 5 Child Deaths @ Community level/ Non- FRU level/ private facilities for 93 Under 5 Deaths.
93 cases * 500 = 0.465/-
"                                        
3. Transport of Parents 
Transport of parents @ Rs.100 per case to attend DM level meeting for 36 deceased children.
36  children * 100 = 0.036/-"     </t>
  </si>
  <si>
    <t xml:space="preserve">Drugs - 4005 cases budgeted for drugs  @ Rs.200/-
Diagnostics - 4005 cases budgeted for diagnostics @ Rs.200/- </t>
  </si>
  <si>
    <t>OOC - 4005 cases budgeted for transport @ Rs.700/-</t>
  </si>
  <si>
    <t xml:space="preserve">OOC - Mobility support for RBSK Mobile health team-Incentive for RBSK nurse – Rs.1000*53*12 = Rs.6,36,000/- and 1 vehicles for MHT – Rs.48000*1*12 = Rs. 5,76,000 /- , 55 connections @ Rs.300 per month = 55*300*12 =1,98,000 </t>
  </si>
  <si>
    <t xml:space="preserve">Equipment - essential and optional equipments available in each DEIC. Proposal amount is different based on the requirements of each unit. Rs.10.996
Diagnostics - 1lakh for  To purchase Consumables for functioning 
OOC - 1. Operational expenses for Rs.10000 per month for Palakkad DEIC. Total amount = Rs. 1,20,000/-, 2. Referral Support for Secondary/ Tertiary – Rs. 35.106/- Lakhs </t>
  </si>
  <si>
    <t xml:space="preserve">OOC - 1. 2 Functional SNCUs = Rs. 100000x 2 SNCU = Rs.2,00,000/-, 
2. NBCC– approved @ Rs.5,000 for 3 delivery points Rs. 5000x3Delivery point = 15,000/- , 
3. Family participatory care (KMC) -Rs. 10000 x 2 SNCUs = 20,000/- , </t>
  </si>
  <si>
    <t xml:space="preserve">OOC 
      1. "ANM Honorarium (FBIR) of Rs 100 per death reported at FBIR  
Rs. 100 per Under 5 Child Deaths @ Community level/ Non-FRU level/ private facilities for 94 Under 5 Deaths.
94 cases * 100 = 0.094/- 
2. Medical Officer Honorarium (Verbal Autopsy) by team of 2 MOs @ Rs.500 
Rs. 500 per Under 5 Child Deaths @ Community level/ Non- FRU level/ private facilities for 94 Under 5 Deaths.
94 cases * 500 = 0.470/-
"                                        
3. Transport of Parents 
Transport of parents @ Rs.100 per case to attend DM level meeting for 35 deceased children.
35  children * 100 = 0.035/-"       </t>
  </si>
  <si>
    <t>Drugs - 2026 cases budgeted for drugs @ Rs.200/- 
Diagnostics - 2026 cases budgeted for diagnostics @ Rs.200/-</t>
  </si>
  <si>
    <t>OOC -2026 cases budgeted for transport @ Rs.700/-</t>
  </si>
  <si>
    <t xml:space="preserve">Operational Cost Pediatric HDUs – Rs. 3 lakhs -  3 HDUs @ Rs. 1.0 Lakh per Unit. </t>
  </si>
  <si>
    <t xml:space="preserve">OOC - Operational Cost Pediatric HDUs – Rs. 1. lakhs of 1 HDU @ Rs. 1 Lakh per Unit. </t>
  </si>
  <si>
    <t xml:space="preserve">Operational Cost Pediatric HDUs – Rs. 2 lakhs -  2 HDUs @ Rs. 1.0 Lakh per Unit. </t>
  </si>
  <si>
    <t xml:space="preserve">Operational Cost Pediatric HDUs – Rs. 1 lakhs -  1 HDUs @ Rs. 1.0 Lakh per Unit. </t>
  </si>
  <si>
    <t xml:space="preserve">Operational Cost Pediatric HDUs – Rs. 4 lakhs -  4 HDUs @ Rs. 1.0 Lakh per Unit. </t>
  </si>
  <si>
    <t>OOC
Pediatric HDUs – Rs. 1. Lakhs as Operational Cost of 1 HDU @ Rs. 1. Lakh per Unit</t>
  </si>
  <si>
    <t xml:space="preserve">OOC- Operational Cost Pediatric HDUs –- Rs. 1.0 Lakhs as Operational Cost of 1 HDUs @ Rs.1.0 Lakh per Unit. </t>
  </si>
  <si>
    <t xml:space="preserve">OOC -
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 </t>
  </si>
  <si>
    <t xml:space="preserve">OOC 
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 </t>
  </si>
  <si>
    <t xml:space="preserve">OOC
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 
</t>
  </si>
  <si>
    <t>OOC
2 lakh each for existing NRCs, Nutrition Rehabilitation Centers (NRC) are established in Health Facilities to provide appropriate and facility based case management to children with SAM for all under 5 children.
                            Rs. 200000 x 3 NRCs = 6,00,000/-</t>
  </si>
  <si>
    <t xml:space="preserve">OOC
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 </t>
  </si>
  <si>
    <t>Equipment - Equipment for establishing CLMC unit or converting existing LMU at GMCH Manjeri as per CLMC guidelines.  
                 Approved Rs.37.00 lakh for procurement of equipment to upgrade LMU to CLMC, including annual operational cost</t>
  </si>
  <si>
    <t xml:space="preserve">OOC - 2 lakh each for existing NRCs, Nutrition Rehabilitation Centers (NRC) are established in Health Facilities to provide appropriate and facility based case management to children with SAM for all under 5 children.
                              Rs. 200000 x 1 NRCs = 2,00,000/-
</t>
  </si>
  <si>
    <t>OOC - 1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t>
  </si>
  <si>
    <t xml:space="preserve">OOC - 1 lakh  for 1 New NRC for 6 month).  Nutrition Rehabilitation Centers (NRC) are established in Health Facilities to provide appropriate and facility based case management to children with SAM for all under 5 children.
                         Rs. 100000 for 6 month = 1,00,000/-
Operation expenses of 1 lakh per NRC for 6 months. HR will be borne by the state. </t>
  </si>
  <si>
    <t xml:space="preserve">OOC
"Blood bank/ Blood storage/ Day care center for hemoglobinopathies.- Rs. 1.00   lakhs        
             Operational expenses  HTCs @ 100000. Total Rs. 1 lakhs.  </t>
  </si>
  <si>
    <t xml:space="preserve">OOC
"Blood bank/ Blood storage/ Day care center for hemoglobinopathies.- Rs. 1.00   lakhs        
             Operational expenses  DDCCs @ 100000. Total Rs. 1 lakhs.   </t>
  </si>
  <si>
    <t xml:space="preserve">OOC
"Blood bank/ Blood storage/ Day care center for hemoglobinopathies.- Rs. 1.00   lakhs        
             Operational expenses  HTC @ 100000. Total Rs. 1 lakhs.   </t>
  </si>
  <si>
    <t>"Blood bank/ Blood storage/ Day care center for hemoglobinopathies.- Rs. 2.00   lakhs        
             Operational expenses  HTC and DDCC @ 100000. Total Rs. 2 lakhs.</t>
  </si>
  <si>
    <t xml:space="preserve">OOC 
"Blood bank/ Blood storage/ Day care center for hemoglobinopathies.- Rs. 1.00   lakhs        
             Operational expenses  DDCCs @ 100000. Total Rs. 1 lakhs.   </t>
  </si>
  <si>
    <t xml:space="preserve">OOC
"Blood bank/ Blood storage/ Day care center for hemoglobinopathies.- Rs. 1.00   lakhs        
             Operational expenses  DDCCs @ 100000. Total Rs. 1 lakhs. </t>
  </si>
  <si>
    <t xml:space="preserve">OOC
"Blood bank/ Blood storage/ Day care center for hemoglobinopathies.- Rs. 2.00   lakhs        
             Operational expenses  HTC and DDCC @ 100000 each. Total Rs. 2 lakhs.   </t>
  </si>
  <si>
    <t>"Operational expenses for wayanad sickle cell unit – 10000 per month
Total 10000 *12 = Rs.120000/-"</t>
  </si>
  <si>
    <t xml:space="preserve">OOC
"Blood bank/ Blood storage/ Day care center for hemoglobinopathies.- Rs. 1.00   lakhs        
             Operational expenses  DDCC @ 100000. Total Rs. 1 lakhs.   </t>
  </si>
  <si>
    <t>OOC 
To conduct maternal death audit 
MD*MDR Rs 7*1000</t>
  </si>
  <si>
    <t>OOC 
To conduct maternal death audit 
MD*MDR Rs 5*1000</t>
  </si>
  <si>
    <t xml:space="preserve">OOC 
To conduct maternal death audit 
MD*MDR Rs 2*1000
</t>
  </si>
  <si>
    <t>OOC 
To conduct maternal death audit 
MD*MDR Rs 2*1000</t>
  </si>
  <si>
    <t>OOC 
To conduct maternal death audit 
MD*MDR Rs 1*1000</t>
  </si>
  <si>
    <t>OOC 
To conduct maternal death audit 
MD*MDR Rs 3*1000</t>
  </si>
  <si>
    <t xml:space="preserve">DBT
Approved ₹92.71 lakhs comprising ₹0.11 lakh for 21 home deliveries of women from BPL households @ ₹500 per case, 
₹73.73 lakhs for 10,533 rural institu-tional deliveries @ ₹700 per case, and
 ₹18.88 lakhs for 3,146 urban institu-tional deliveries @ ₹600 per case.
</t>
  </si>
  <si>
    <t xml:space="preserve">a) Drugs – ₹122.87 lakhs for provision of essential drugs and consumables to eligible beneficiaries under JSSK.
₹26.88 lakhs for 7,679 normal deliveries @ ₹350 per beneficiary and ₹96.00 lakhs for 6,000 caesarean section deliveries @ ₹1,600 per beneficiary.
b) Diagnostics – ₹75.70 lakhs, comprising ₹59.39 lakhs for diagnostic services @ ₹200 per beneficiary for 29,696 deliveries, and ₹16.31 lakhs for Ultrasonography (USG) @ ₹500 per High-Risk Pregnant (HRP) woman for 3,262 HRP cases.
 2) Other Operating Cost – ₹166.69 lakhs, comprising:
a) Blood Transfusion – ₹4.10 lakhs @ ₹300 per beneficiary for 1,367 cases (768 Normal deliveries and 599 Caesarean Section deliveries).
b) Diet – ₹162.60 lakhs, comprising ₹105.00 lakhs for 6,000 Caesarean Section cases @ ₹250 per day for 7 days, and ₹57.59 lakhs for 7,679 Normal delivery cases @ ₹250 per day for 3 days.
</t>
  </si>
  <si>
    <t>₹95.75 lakhs.For transportation assis-tance under Janani Shishu Suraksha Karyakram (JSSK) for 13,679 delive-ries,(13679*700) comprising 7,679 normal deliveries and 6,000 caesa-rean section deliveries,.</t>
  </si>
  <si>
    <t xml:space="preserve">DBT
 1:₹0.98 lakh approved for mobility support to 326 High-Risk Pregnant (HRP) women @ ₹100 per visit for 3 visits (326 × ₹300 = ₹97,800).
 2:₹0.80 lakh approved for operational expenses, comprising ₹0.60 lakh for 5 PMSMA sites towards vehicle hiring @ ₹1,000 per month, and ₹0.20 lakh towards refreshment expenses for 326 HRP beneficiaries @ ₹60 per beneficiary.
Total approved allocation: ₹1.78 </t>
  </si>
  <si>
    <t xml:space="preserve">DBT
₹46.22 lakhs for Janani Surak-sha Yojana (JSY), comprising ₹0.10 lakh for 20 home deliver-ies of women from BPL house-holds @ ₹500 per case, 
₹36.72 lakhs for 5,245 rural in-stitutional deliveries @ ₹700 per case, and ₹9.40 lakhs for 1,567 urban institutional deliveries @ ₹600 per case
</t>
  </si>
  <si>
    <t>JSSK Transport – ₹47.68 lakhs@Rs 700 /-for 6812 delive-ries (. Normal: 3,419; C-Section: 3,393)</t>
  </si>
  <si>
    <t xml:space="preserve">DBT
1: ₹1.30 lakhs approved for mo-bility support to 434 High-Risk Pregnant (HRP) women @ ₹100 per visit for 3 visits (434 × ₹300 = ₹1,30,200).
2: ₹2.18 lakhs approved for op-erational expenses, comprising ₹1.92 lakhs for 16 PMSMA sites towards vehicle hiring @ ₹1,000 per month, and ₹0.26 lakh to-wards refreshment expenses for 434 HRP beneficiaries @ ₹60 per beneficiary.
</t>
  </si>
  <si>
    <t xml:space="preserve">DBT – ₹14.56 lakhs. 
₹11.57 lakhs for 1,653 rural institu-tional deliveries @ ₹700 per bene-ficiary, ₹2.96 lakhs for 494 urban institutional deliveries @ ₹600 per beneficiary, and ₹0.03 lakh for 6 home deliveries of eligible BPL women @ ₹500 per beneficiary. Total proposed allocation: ₹14.56 lakhs.
</t>
  </si>
  <si>
    <t xml:space="preserve">
Drugs – ₹20.86 lakhs for provision of essential drugs and consumables to eligible beneficiaries under JSSK, comprising ₹3.78 lakhs for 1,079 normal deliveries @ ₹350 per beneficiary and ₹17.09 lakhs for 1,068 caesarean section deliveries @ ₹1,600 per beneficiary.
b) Diagnostics – ₹26.159 lakhs, comprising ₹4.29 lakhs for diagnostic services @ ₹200 per beneficiary for 2,147 deliveries, and ₹21.87 lakhs for Ultrasonography (USG) @ ₹500 per High-Risk Pregnant (HRP) woman for 4,374 HRP cases.
2) Other Operating Cost – ₹27.4266 lakhs, comprising:
a) Blood Transfusion – ₹0.64 lakh @ ₹300 per beneficiary for 215 cases (108 normal deliveries and 107 caesarean section deliveries).
b) Diet – ₹26.78 lakhs, comprising ₹18.69 lakhs for 1,068 caesarean section cases @ ₹250 per day for 7 days, and ₹8.09 lakhs for 1,079 normal deliveries @ ₹250 per day for 3 days.</t>
  </si>
  <si>
    <t>JSSK Transport – ₹15.03 lakhs@Rs 700 /- *total deliveries  Normal: 1,079; C-Section: 1,068. Total: ₹15.03 lakhs.</t>
  </si>
  <si>
    <t xml:space="preserve">DBT
PMSMA – ₹0.83 lakh. 3 PMSMA sites. Vehicle Hiring: ₹0.36 lakh; Refreshments: ₹0.08 lakh; DBT: ₹0.39 lakh for 131 HRP. Total: ₹0.83 lakh.
</t>
  </si>
  <si>
    <t xml:space="preserve">DBT – ₹27.97 lakhs. 
₹0.05 lakh for 9 home deliveries of women from BPL households @ ₹500 per case, ₹22.23 lakhs for 3,176 rural institutional deliveries @ ₹700 per case, and ₹5.69 lakhs for 949 urban institutional deliveries @ ₹600 per case. Total approved allocation under JSY: ₹27.97 lakhs
</t>
  </si>
  <si>
    <t xml:space="preserve">
a) Drugs – ₹41.36 lakhs for provision of essential drugs and consumables to eligible beneficiaries under JSSK, comprising ₹6.90 lakhs for 1,971 normal deliveries @ ₹350 per beneficiary and ₹34.46 lakhs for 2,154 caesarean section deliveries @ ₹1,600 per beneficiary.
b) Diagnostics – ₹30.55 lakhs, comprising ₹8.25 lakhs for diagnostic services @ ₹200 per beneficiary for 4,125 deliveries, and ₹22.21 lakhs for Ultrasonography (USG) @ ₹500 per High-Risk Pregnant (HRP) woman for 4,442 HRP cases.
2) Other Operating Cost – ₹53.715 lakhs, comprising:
a) Blood Transfusion – ₹1.24 lakhs @ ₹300 per beneficiary for 413 cases (197 normal deliveries and 216 caesarean section deliveries).
b) Diet – ₹52.48 lakhs, comprising ₹37.70 lakhs for 2,154 caesarean section cases @ ₹250 per day for 7 days, and ₹14.78 lakhs for 1,971 normal delivery cases @ ₹250 per day for 3 days.
</t>
  </si>
  <si>
    <t>JSSK Transport – ₹28.88 lakhs. @Rs 700 /- *total deliveries Normal: 1,971; C-Section: 2,154. Total: ₹28.88 lakhs.</t>
  </si>
  <si>
    <t xml:space="preserve">DBT
1: ₹0.59 lakh approved for mobility support to 195 High-Risk Pregnant (HRP) women @ ₹100 per visit for 3 visits (195 × ₹300 = ₹58,500).
 2: ₹0.72 lakh approved for operational expenses, comprising ₹0.60 lakh for 5 PMSMA sites towards vehicle hiring @ ₹1,000 per month, and ₹0.12 lakh towards refreshment expenses for 195 HRP beneficiaries @ ₹60 per beneficiary.
</t>
  </si>
  <si>
    <t xml:space="preserve">DBT43.77 lakhs 
₹0.05 lakh for 10 home deliveries of women from BPL households @ ₹500 per case, ₹34.81 lakhs for 4,973 rural institutional deliveries @ ₹700 per case, and ₹8.91 lakhs for 1,485 urban institutional deliveries @ ₹600 per case.
</t>
  </si>
  <si>
    <t xml:space="preserve">Drugs – ₹55.79 lakhs for provision of essential drugs and consumables to eligible beneficiaries under JSSK, comprising ₹13.31 lakhs for 3,803 normal deliveries @ ₹350 per beneficiary and ₹42.48 lakhs for 2,655 caesarean section deliveries @ ₹1,600 per beneficiary 
.
b) Diagnostics – ₹44.915 lakhs, comprising ₹12.92 lakhs for diagnostic services @ ₹200 per beneficiary for 6,458 deliveries, and ₹32.00 lakhs for Ultrasonography (USG) @ ₹500 per High-Risk Pregnant (HRP) woman for 6,400 HRP cases.
2) Other Operating Cost – ₹76.92 lakhs, comprising:
a) Blood Transfusion – ₹1.94 lakhs @ ₹300 per beneficiary for 646 cases (380 normal deliveries and 266 caesarean section deliveries).
b) Diet – ₹74.99 lakhs, comprising ₹46.46 lakhs for 2,655 caesarean section cases @ ₹250 per day for 7 days, and ₹28.52 lakhs for3,803 normal deliveries @ ₹250 per day for 3 days.
</t>
  </si>
  <si>
    <t>JSSK Transport – ₹45.21 lakhs.@Rs 700 /- *total deliveries Normal: 3,803; C-Section: 2,655. Total: ₹45.21 lakhs.</t>
  </si>
  <si>
    <t xml:space="preserve">DBT
1: ₹0.86 lakh approved for mobility support to 288 High-Risk Pregnant (HRP) women @ ₹100 per visit for 3 visits (288 × ₹300 = ₹86,400).
2: ₹0.65 lakh approved for operational expenses, comprising ₹0.48 lakh for 4 PMSMA sites towards vehicle hiring @ ₹1,000 per month, and ₹0.17 lakh to-wards refreshment expenses for 288 HRP beneficiaries @ ₹60 per benefici-ary.
</t>
  </si>
  <si>
    <t xml:space="preserve">DBT – ₹16.97 lakhs. 
comprising ₹0.19 lakh for 37 home de-liveries of women from BPL house-holds @ ₹500 per case, ₹13.37 lakhs for 1,910 rural institutional deliveries @ ₹700 per case, and ₹3.42 lakhs for 570 urban institutional deliveries @ ₹600 per case. Total approved allocation under JSY: ₹16.97 lakhs.
</t>
  </si>
  <si>
    <t xml:space="preserve">
Drugs – ₹24.19 lakhs for provision of essential drugs and consumables to eligible beneficiaries under JSSK, comprising ₹4.34 lakhs for 1,239 normal deliveries @ ₹350 per beneficiary and ₹19.86 lakhs for 1,241 caesarean section deliveries @ ₹1,600 per beneficiary.
b) Diagnostics – ₹21.87 lakhs, comprising ₹4.96 lakhs for diagnostic services @ ₹200 per beneficiary for 2,480 deliveries, and ₹16.96 lakhs for Ultrasonography (USG) @ ₹500 per High-Risk Pregnant (HRP) woman for 3,392 HRP cases.
2) Other Operating Cost – ₹31.75 lakhs, comprising:
a) Blood Transfusion – ₹0.74 lakh @ ₹300 per beneficiary for 248 cases (124 normal deliveries and 124 caesarean section deliveries).
b) Diet – ₹31.01 lakhs, comprising ₹21.72 lakhs for 1,241 caesarean section cases @ ₹250 per day for 7 days, and ₹9.29 lakhs for 1,239 normal delivery cases @ ₹250 per day for 3 days.
Total approved allocation under JSSK (Excluding Transport): ₹77.83 lakhs.
</t>
  </si>
  <si>
    <t>JSSK Transport – ₹17.36 lakhs. @Rs 700 /- *total deliveries Normal: 1,239; C-Section: 1,241. Total: ₹17.36 lakhs.</t>
  </si>
  <si>
    <t xml:space="preserve">DBT
1: ₹0.42 lakh approved for mobility support to 139 High-Risk Pregnant (HRP) women @ ₹100 per visit for 3 visits (139 × ₹300 = ₹41,700).
2: ₹0.92 lakh approved for operational expenses, comprising ₹0.84 lakh for 7 PMSMA sites towards vehicle hiring @ ₹1,000 per month, and ₹0.08 lakh to-wards refreshment expenses for 139 HRP beneficiaries @ ₹60 per benefici-ary.
</t>
  </si>
  <si>
    <t xml:space="preserve">DBT – ₹42.14 lakhs
comprising ₹0.12 lakh for 24 home de-liveries of women from BPL house-holds @ ₹500 per case, ₹33.45 lakhs for 4,779 rural institutional deliveries @ ₹700 per case, and ₹8.57 lakhs for 1,428 urban institutional deliveries @ ₹600 per case. Total approved alloca-tion under JSY: ₹42.14 lakhs.
</t>
  </si>
  <si>
    <t xml:space="preserve">a) Drugs – ₹64.87 lakhs for provision of essential drugs and consumables to eligible beneficiaries under JSSK, comprising ₹9.64 lakhs for 2,755 normal deliveries @ ₹350 per beneficiary and ₹55.23 lakhs for 3,452 caesarean section deliveries @ ₹1,600 per beneficiary.
b) Diagnostics – ₹78.92 lakhs, comprising ₹12.41 lakhs for diagnostic services @ ₹200 per beneficiary for 6,207 deliveries, and ₹66.51 lakhs for Ultrasonography (USG) @ ₹500 per High-Risk Pregnant (HRP) woman for 13,303 HRP cases.
2) Other Operating Cost – ₹82.93 lakhs, comprising:
a) Blood Transfusion – ₹1.86 lakhs @ ₹300 per beneficiary for 621 cases (276 normal deliveries and 345 caesarean section deliveries).
b) Diet – ₹81.07 lakhs, comprising ₹60.41 lakhs for 3,452 caesarean section cases @ ₹250 per day for 7 days, and ₹20.66 lakhs for 2,755 normal delivery cases @ ₹250 per day for 3 days.
Total approved allocation under JSSK (Excluding Transport): ₹226.73 lakhs.
</t>
  </si>
  <si>
    <t>JSSK Transport – ₹43.45 lakhs. @Rs 700 /- *total deliveries  Normal: 2,755; C-Section: 3,452. Total: ₹43.45 lakhs.</t>
  </si>
  <si>
    <t xml:space="preserve">DBT
1: ₹1.44 lakhs approved for mobility support to 479 High-Risk Pregnant (HRP) women @ ₹100 per visit for 3 visits (479 × ₹300 = ₹1,43,700).
2: ₹0.53 lakh approved for operational expenses, comprising ₹0.24 lakh for 2 PMSMA sites towards vehicle hiring @ ₹1,000 per month, and ₹0.29 lakh to-wards refreshment expenses for 479 HRP beneficiaries @ ₹60 per benefici-ary.
Total approved allocation under PMSMA: ₹1.97 lakhs.
</t>
  </si>
  <si>
    <t xml:space="preserve">DBT – ₹52.33 lakhs. 
comprising ₹0.08 lakh for 15 home de-liveries of women from BPL house-holds @ ₹500 per case, ₹41.61 lakhs for 5,944 rural institutional deliveries @ ₹700 per case, and ₹10.65 lakhs for 1,775 urban institutional deliveries @ ₹600 per case. Total approved allocation under JSY: ₹52.33 lakhs. 
</t>
  </si>
  <si>
    <t xml:space="preserve">a) Drugs – ₹71.84 lakhs for provision of essential drugs and consumables to eligible beneficiaries under JSSK, comprising ₹14.47 lakhs for 4,133 normal deliveries @ ₹350 per beneficiary and ₹57.38 lakhs for 3,586 caesarean section deliveries @ ₹1,600 per beneficiary.
b) Diagnostics – ₹72.765 lakhs, comprising ₹15.44 lakhs for diagnostic services @ ₹200 per beneficiary for 7,719 deliveries, and ₹57.35 lakhs for Ultrasonography (USG) @ ₹500 per High-Risk Pregnant (HRP) woman for 11,469 HRP cases.
2) Other Operating Cost – ₹96.0682 lakhs, comprising:
a) Blood Transfusion – ₹2.32 lakhs @ ₹300 per beneficiary for 772 cases (413 normal deliveries and 359 caesarean section deliveries).
b) Diet – ₹93.75 lakhs, comprising ₹62.76 lakhs for 3,586 caesarean section cases @ ₹250 per day for 7 days, and ₹31.00 lakhs for 4,133 normal delivery cases @ ₹250 per day for 3 days.
Total approved allocation under JSSK (Excluding Transport): ₹240.67 lakhs.
</t>
  </si>
  <si>
    <t>JSSK Transport – ₹54.03 lakhs. @Rs 700 /- *total deliveries Normal: 4,133; C-Section: 3,586. Total: ₹54.03 lakhs.</t>
  </si>
  <si>
    <t xml:space="preserve">DBT
1: ₹1.15 lakhs approved for mobility support to 384 High-Risk Pregnant (HRP) women @ ₹100 per visit for 3 visits (384 × ₹300 = ₹1,15,200).
2: ₹0.83 lakh approved for operational expenses, comprising ₹0.60 lakh for 5 PMSMA sites towards vehicle hiring @ ₹1,000 per month, and ₹0.23 lakh to-wards refreshment expenses for 384 HRP beneficiaries @ ₹60 per benefici-ary.
Total approved allocation under PMSMA: ₹1.98 lakhs.
</t>
  </si>
  <si>
    <t>OOC 
To conduct maternal death audit 
MD*MDR Rs 11*1000</t>
  </si>
  <si>
    <t xml:space="preserve">DBT
Approved ₹37.76 lakhs for Janani Suraksha Yojana (JSY), comprising ₹0.08 lakh for 16 home deliveries of women from BPL households @ ₹500 per case, ₹30.00 lakhs for 4,286 rural institutional deliveries @ ₹700 per case, and ₹7.68 lakhs for 1,280 urban institutional deliveries @ ₹600 per case. Total approved allocation under JSY: ₹37.76 lakhs.
</t>
  </si>
  <si>
    <t xml:space="preserve">a) Drugs – ₹47.09 lakhs for provision of essential drugs and consumables to eligible beneficiaries under JSSK, comprising ₹11.75 lakhs for 3,357 normal deliveries @ ₹350 per beneficiary and ₹35.34 lakhs for 2,209 caesarean section deliveries @ ₹1,600 per beneficiary.
b) Diagnostics – ₹81.988 lakhs, comprising ₹11.13 lakhs for diagnostic services @ ₹200 per beneficiary for 5,566 deliveries, and ₹69.64 lakhs for Ultrasonography (USG) @ ₹500 per High-Risk Pregnant (HRP) woman for 13,928 HRP scans.
2) Other Operating Cost – ₹65.50 lakhs, comprising:
a) Blood Transfusion – ₹1.67 lakhs @ ₹300 per beneficiary for 557 cases (336 normal deliveries and 221 caesarean section deliveries).
b) Diet – ₹63.84 lakhs, comprising ₹38.66 lakhs for 2,209 caesarean section cases @ ₹250 per day for 7 days, and ₹25.18 lakhs for 3,357 normal delivery cases @ ₹250 per day for 3 days.
Total approved allocation under JSSK (Excluding Transport): ₹194.59 lakhs.
</t>
  </si>
  <si>
    <t>JSSK Transport – ₹38.96 lakhs. @Rs 700 /- *total deliveries Normal: 3,357; C-Section: 2,209. Total: ₹38.96 lakhs.</t>
  </si>
  <si>
    <t xml:space="preserve">DBT
1: ₹2.09 lakhs approved for mobility support to 696 High-Risk Pregnant (HRP) women @ ₹100 per visit for 3 visits (696 × ₹300 = ₹2,08,800).
2: ₹0.90 lakh approved for operational expenses, comprising ₹0.48 lakh for 4 PMSMA sites towards vehicle hiring @ ₹1,000 per month, and ₹0.42 lakh to-wards refreshment expenses for 696 HRP beneficiaries @ ₹60 per benefici-ary.
</t>
  </si>
  <si>
    <t>OOC 
To conduct maternal death audit 
MD*MDR Rs 13*1000</t>
  </si>
  <si>
    <t xml:space="preserve">DBT
Approved ₹73.20 lakhs for Janani Suraksha Yojana (JSY), comprising ₹0.96 lakh for 191 home deliveries of women from BPL households @ ₹500 per case, ₹57.52 lakhs for 8,217 rural institutional deliveries @ ₹700 per case, and ₹14.73 lakhs for 2,454 urban institutional deliveries @ ₹600 per case. Total approved allocation under JSY: ₹73.20 lakhs.
</t>
  </si>
  <si>
    <t xml:space="preserve">a) Drugs – ₹84.2985 lakhs for provision of essential drugs and consumables to eligible beneficiaries under JSSK, comprising ₹24.20 lakhs for 6,915 normal deliveries @ ₹350 per beneficiary and ₹60.10 lakhs for 3,756 caesarean section deliveries @ ₹1,600 per beneficiary.
b) Diagnostics – ₹180.396 lakhs, comprising ₹21.34 lakhs for diagnostic services @ ₹200 per beneficiary for 10,671 deliveries, and ₹159.06 lakhs for Ultrasonography (USG) @ ₹500 per High-Risk Pregnant (HRP) woman for 17,300 HRP scans. (Total Diagnostics: ₹180.40 lakhs).
2) Other Operating Cost – ₹120.79 lakhs, comprising:
a) Blood Transfusion – ₹3.20 lakhs @ ₹300 per beneficiary for 1,067 cases (692 normal deliveries and 375 caesarean section deliveries).
b) Diet – ₹117.59 lakhs, comprising ₹65.73 lakhs for 3,756 caesarean section cases @ ₹250 per day for 7 days, and ₹51.86 lakhs for 6,915 normal delivery cases @ ₹250 per day for 3 days.
Total approved allocation under JSSK (Excluding Transport): ₹385.49 lakhs.
</t>
  </si>
  <si>
    <t>JSSK Transport – ₹74.70 lakhs. @Rs 700 /- *total deliveries Normal: 6,915; C-Section: 3,756. Total: ₹74.70 lakhs.</t>
  </si>
  <si>
    <t xml:space="preserve">DBT
1: ₹2.60 lakhs approved for mobility support to 865 High-Risk Pregnant (HRP) women @ ₹100 per visit for 3 visits (865 × ₹300 = ₹2,59,500).
2: ₹1.24 lakhs approved for operational expenses, comprising ₹0.72 lakh for 6 PMSMA sites towards vehicle hiring @ ₹1,000 per month, and ₹0.52 lakh towards refreshment expenses for 865 HRP beneficiaries @ ₹60 per beneficiary.
Total approved allocation under PMSMA: ₹3.84 lakhs.
</t>
  </si>
  <si>
    <t xml:space="preserve">DBT
Approved ₹75.98 lakhs for Janani Suraksha Yojana (JSY), comprising ₹0.12 lakh for 24 home deliveries of women from BPL households @ ₹500 per case, ₹60.40 lakhs for 8,628 rural institutional deliveries @ ₹700 per case, and ₹15.46 lakhs for 2,577 urban institutional deliveries @ ₹600 per case. Total approved allocation under JSY: ₹75.98 lakhs.
</t>
  </si>
  <si>
    <t xml:space="preserve">a) Drugs – ₹102.09 lakhs for provision of essential drugs and consumables to eligible beneficiaries under JSSK, comprising ₹21.61 lakhs for 6,175 normal deliveries @ ₹350 per beneficiary and ₹80.48 lakhs for 5,030 caesarean section deliveries @ ₹1,600 per beneficiary.
b) Diagnostics – ₹95.376lakhs, comprising ₹22.41 lakhs for diagnostic services @ ₹200 per beneficiary for 11,205 deliveries, and ₹72.97 lakhs for Ultrasonography (USG) @ ₹500 per High-Risk Pregnant (HRP) woman for 14,594 HRP scans. (Total Diagnostics: ₹95.38 lakhs).
2) Other Operating Cost – ₹137.69 lakhs, comprising:
a) Blood Transfusion – ₹3.36 lakhs @ ₹300 per beneficiary for 1,120 cases (618 normal deliveries and 502 caesarean section deliveries).
b) Diet – ₹134.34 lakhs, comprising ₹88.03 lakhs for 5,030 caesarean section cases @ ₹250 per day for 7 days, and ₹46.31 lakhs for 6,175 normal delivery cases @ ₹250 per day for 3 days.
Total approved allocation under JSSK (Excluding Transport): ₹335.17 lakhs.
</t>
  </si>
  <si>
    <t>JSSK Transport – ₹78.44 lakhs. @Rs 700 /- *total deliveries Normal: 6,175; C-Section: 5,030. Total: ₹78.44 lakhs.</t>
  </si>
  <si>
    <t xml:space="preserve">DBT
1: ₹1.31 lakhs approved for mobility support to 438 High-Risk Pregnant (HRP) women @ ₹100 per visit for 3 visits (438 × ₹300 = ₹1,31,400).
2: ₹0.74 lakh approved for operational expenses, comprising ₹0.48 lakh for 4 PMSMA sites towards vehicle hiring @ ₹1,000 per month, and ₹0.26 lakh to-wards refreshment expenses for 438 HRP beneficiaries @ ₹60 per benefici-ary.
Total approved allocation under PMSMA: ₹2.05 lakhs.
</t>
  </si>
  <si>
    <t xml:space="preserve">DBT
Approved ₹23.21 lakhs for Janani Suraksha Yojana (JSY), comprising ₹0.12 lakh for 24 home deliveries of women from BPL households @ ₹500 per case, ₹18.38 lakhs for 2,626 rural institutional deliveries @ ₹700 per case, and ₹4.71 lakhs for 784 urban institutional deliveries @ ₹600 per case. Total approved allocation under JSY: ₹23.21 lakhs.
</t>
  </si>
  <si>
    <t xml:space="preserve">a) Drugs – ₹24.16 lakhs for provision of essential drugs and consumables to eligible beneficiaries under JSSK, comprising ₹8.51 lakhs for 2,432 normal deliveries @ ₹350 per beneficiary and ₹15.65 lakhs for 978 caesarean section deliveries @ ₹1,600 per beneficiary.
b) Diagnostics – ₹29.708 lakhs, comprising ₹6.82 lakhs for diagnostic services @ ₹200 per beneficiary for 3,410 deliveries, and ₹22.89 lakhs for Ultrasonography (USG) @ ₹500 per 4,578 High-Risk Pregnant (HRP) scans. (Total Diagnostics: ₹29.71 lakhs).
2) Other Operating Cost – ₹36.378 lakhs, comprising:
a) Blood Transfusion – ₹1.02 lakhs @ ₹300 per beneficiary for 341 cases (243 normal deliveries and 98 caesarean section deliveries).
b) Diet – ₹35.36 lakhs, comprising ₹17.12 lakhs for 978 caesarean section cases @ ₹250 per day for 7 days, and ₹18.24 lakhs for 2,432 normal delivery cases @ ₹250 per day for 3 days.
</t>
  </si>
  <si>
    <t>JSSK Transport – ₹23.87 lakhs. @Rs 700 /- *total deliveries Normal: 2,432; C-Section: 978. Total: ₹23.87 lakhs.</t>
  </si>
  <si>
    <t xml:space="preserve">DBT
 1: ₹0.59 lakh approved for mobility support to 197 High-Risk Pregnant (HRP) women @ ₹100 per visit for 3 visits (197 × ₹300 = ₹59,100).
 2: ₹0.48 lakh approved for operational expenses, comprising ₹0.36 lakh for 3 PMSMA sites towards vehicle hiring @ ₹1,000 per month, and ₹0.12 lakh to-wards refreshment expenses for 197 HRP beneficiaries @ ₹60 per benefici-ary.
</t>
  </si>
  <si>
    <t xml:space="preserve">DBT
Approved ₹47.08 lakhs for Janani Suraksha Yojana (JSY), comprising ₹0.08 lakh for 16 home deliveries of women from BPL households @ ₹500 per case, ₹37.42 lakhs for 5,346 rural institutional deliveries @ ₹700 per case, and ₹9.58 lakhs for 1,597 urban institutional deliveries @ ₹600 per case. Total approved allocation under JSY: ₹47.08 lakhs.
</t>
  </si>
  <si>
    <t xml:space="preserve">a) Drugs – ₹66.588 lakhs for provision of essential drugs and consumables to eligible beneficiaries under JSSK, comprising ₹12.46 lakhs for 3,560 normal deliveries @ ₹350 per beneficiary and ₹54.13 lakhs for 3,383 caesarean section deliveries @ ₹1,600 per beneficiary.
b) Diagnostics – ₹81.60 lakhs, comprising ₹13.89 lakhs for diagnostic services @ ₹200 per beneficiary for 6,943 deliveries, and ₹67.71 lakhs for Ultrasonography (USG) @ ₹500 per 13,542 High-Risk Pregnant (HRP) scans. (Total Diagnostics: ₹81.60 lakhs).
, comprising:
a) Blood Transfusion – ₹2.08 lakhs @ ₹300 per beneficiary for 694 cases (356 normal deliveries and 338 caesarean section
2) Other Operating Cost – ₹87.985 lakhs deliveries).
b) Diet – ₹85.90 lakhs, comprising ₹59.20 lakhs for 3,383 caesarean section cases @ ₹250 per day for 7 days, and ₹26.70 lakhs for 3,560 normal delivery cases @ ₹250 per day for 3 days.
Total approved allocation under JSSK (Excluding Transport): ₹236.17 lakhs.
</t>
  </si>
  <si>
    <t>JSSK Transport – ₹48.60 lakhs. @Rs 700 /- *total deliveries Normal: 3,560; C-Section: 3,383. Total: ₹48.60 lakhs.</t>
  </si>
  <si>
    <t xml:space="preserve">DBT
1: ₹1.69 lakhs approved for mobility support to 564 High-Risk Pregnant (HRP) women @ ₹100 per visit for 3 visits (564 × ₹300 = ₹1,69,200).
2: ₹1.30 lakhs approved for operational expenses, comprising ₹0.96 lakh for 8 PMSMA sites towards vehicle hiring @ ₹1,000 per month, and ₹0.34 lakh towards refreshment expenses for 564 HRP beneficiaries @ ₹60 per beneficiary.
Total approved allocation under PMSMA: ₹2.99 lakhs.
</t>
  </si>
  <si>
    <t>OOC 
To conduct maternal death audit 
MD*MDR Rs 6*1000</t>
  </si>
  <si>
    <t xml:space="preserve">DBT
Approved ₹19.39 lakhs for Janani Suraksha Yojana (JSY), comprising ₹0.08 lakh for 15 home deliveries of women from BPL households @ ₹500 per case, ₹15.38 lakhs for 2,197 rural institutional deliveries @ ₹700 per case, and ₹3.94 lakhs for 656 urban institutional deliveries @ ₹600 per case. Total approved allocation under JSY: ₹19.39 lakhs.
</t>
  </si>
  <si>
    <t xml:space="preserve">a) Drugs – ₹21.735 lakhs for provision of essential drugs and consumables to eligible beneficiaries under JSSK, comprising ₹6.70 lakhs for 1,913 normal deliveries @ ₹350 per beneficiary and ₹15.04 lakhs for 940 caesarean section deliveries @ ₹1,600 per beneficiary.
b) Diagnostics – ₹40.438 lakhs, comprising ₹5.71 lakhs for diagnostic services @ ₹200 per beneficiary for 2,853 deliveries, and ₹34.73 lakhs for Ultrasonography (USG) @ ₹500 per High-Risk Pregnant (HRP) woman for 6,946 HRP cases.
2) Other Operating Cost – ₹31.65 lakhs, comprising:
a) Blood Transfusion – ₹0.86 lakh @ ₹300 per beneficiary for 286 cases (191 normal deliveries and 94 caesarean section deliveries).
b) Diet – ₹30.80 lakhs, comprising ₹16.45 lakhs for 940 caesarean section cases @ ₹250 per day for 7 days, and ₹14.35 lakhs for 1,913 normal delivery cases @ ₹250 per day for 3 days.
</t>
  </si>
  <si>
    <t>JSSK Transport – ₹19.97 lakhs. @Rs 700 /- *total deliveries Normal: 1,913; C-Section: 940. Total: ₹19.97 lakhs.</t>
  </si>
  <si>
    <t xml:space="preserve">DBT
1: ₹0.80 lakh approved for mobility support to 268 High-Risk Pregnant (HRP) women @ ₹100 per visit for 3 visits (268 × ₹300 = ₹80,400).
2: ₹0.64 lakh approved for operational expenses, comprising ₹0.48 lakh for 4 PMSMA sites towards vehicle hiring @ ₹1,000 per month, and ₹0.15 lakh to-wards refreshment expenses for 265 HRP beneficiaries @ ₹60 per benefici-ary.
Total approved allocation under PMSMA: ₹1.43 lakhs.
</t>
  </si>
  <si>
    <t>PPIUCD/PAIUCD DBT – ₹0.87 lakh.279 PPIUCD and 11 PAIUCD insertions (290 beneficiaries) @ ₹300 per beneficiary. Total proposed: ₹0.87 lakh.</t>
  </si>
  <si>
    <t>Antara Programme DBT – ₹0.41 lakh. A total of 412 Antara doses (208 first, 83 second, 52 third and 69 fourth &amp; subsequent doses) have been proposed. DBT @ ₹100 per dose. Total proposed: ₹0.41 lakh.</t>
  </si>
  <si>
    <t xml:space="preserve">PPIUCD/PAIUCD DBT – ₹0.16 lakh.53 PPIUCD and 1 PAIUCD insertions (54 beneficiaries) @ ₹300 per beneficiary. Total proposed: ₹0.16 lakh.
</t>
  </si>
  <si>
    <t>Antara Programme DBT – ₹0.11 lakh. A total of 105 doses (75 first, 17 second, 11 third and 2 fourth &amp; subsequent doses) @ ₹100 per dose. Total pro-posed: ₹0.11 lakh.</t>
  </si>
  <si>
    <t>PPIUCD/PAIUCD DBT – ₹0.48 lakh.157 PPIUCD and 4 PAIUCD insertions (161 beneficiaries) @ ₹300 per beneficiary. Total proposed: ₹0.48 lakh.</t>
  </si>
  <si>
    <t>Antara Programme DBT – ₹0.04 lakh. A total of 44 doses (28 first, 6 second, 4 third and 6 fourth &amp; sub-sequent doses) @ ₹100 per dose. Total proposed: ₹0.04 lakh.</t>
  </si>
  <si>
    <t>PPIUCD/PAIUCD DBT – ₹0.45 lakh.86 PPIUCD and 63 PAIUCD insertions (149 beneficiaries) @ ₹300 per beneficiary. Total proposed: ₹0.45 lakh.</t>
  </si>
  <si>
    <t>Antara Programme DBT – ₹0.10 lakh. A total of 101 doses (62 first, 19 second, 15 third and 5 fourth &amp; subsequent doses) @ ₹100 per dose. Total pro-posed: ₹0.10 lakh.</t>
  </si>
  <si>
    <t>PPIUCD/PAIUCD DBT – ₹2.21 lakhs.716 PPIUCD and 19 PAIUCD insertions (735 beneficiaries) @ ₹300 per beneficiary. Total proposed: ₹2.21 lakhs.</t>
  </si>
  <si>
    <t>Antara Programme DBT – ₹0.23 lakh. A total of 233 doses (152 first, 49 second, 26 third and 6 fourth &amp; subsequent doses) @ ₹100 per dose. Total pro-posed: ₹0.23 lakh.</t>
  </si>
  <si>
    <t>Antara Programme DBT – ₹0.08 lakh. A total of 77 doses (47 first, 15 second, 9 third and 6 fourth &amp; sub-sequent doses) @ ₹100 per dose. Total proposed: ₹0.08 lakh.</t>
  </si>
  <si>
    <t>PPIUCD/PAIUCD DBT – ₹0.02 lakh.7 PPIUCD inser-tions @ ₹300 per beneficiary. Total proposed: ₹0.02 lakh.</t>
  </si>
  <si>
    <t>PPIUCD/PAIUCD DBT – ₹0.21 lakh.47 PPIUCD and 22 PAIUCD insertions (69 beneficiaries) @ ₹300 per beneficiary. Total proposed: ₹0.21 lakh.</t>
  </si>
  <si>
    <t>Antara Programme DBT – ₹0.30 lakh. A total of 298 doses (171 first, 58 second, 28 third and 41 fourth &amp; subsequent doses) @ ₹100 per dose. Total pro-posed: ₹0.30 lakh.</t>
  </si>
  <si>
    <t>PPIUCD/PAIUCD DBT – ₹0.26 lakh.65 PPIUCD and 20 PAIUCD insertions (85 beneficiaries) @ ₹300 per beneficiary. Total proposed: ₹0.26 lakh.</t>
  </si>
  <si>
    <t>Antara Programme DBT – ₹0.41 lakh. A total of 411 doses (221 first, 112 second, 58 third and 20 fourth &amp; subsequent doses) @ ₹100 per dose. Total pro-posed: ₹0.41 lakh.</t>
  </si>
  <si>
    <t>PPIUCD/PAIUCD DBT – ₹0.21 lakh.66 PPIUCD and 4 PAIUCD insertions (70 beneficiaries) @ ₹300 per beneficiary. Total proposed: ₹0.21 lakh.</t>
  </si>
  <si>
    <t>Antara Programme DBT – ₹0.11 lakh. A total of 108 doses (66 first, 32 second, 9 third and 1 fourth &amp; sub-sequent dose) @ ₹100 per dose. Total proposed: ₹0.11 lakh.</t>
  </si>
  <si>
    <t>PPIUCD/PAIUCD DBT – ₹1.28 lakhs.396 PPIUCD and 30 PAIUCD insertions (426 beneficiaries) @ ₹300 per beneficiary. Total proposed: ₹1.28 lakhs.</t>
  </si>
  <si>
    <t>Antara Programme DBT – ₹0.22 lakh. A total of 224 doses (122 first, 45 second, 36 third and 21 fourth &amp; subsequent doses) @ ₹100 per dose. Total pro-posed: ₹0.22 lakh.</t>
  </si>
  <si>
    <t>PPIUCD/PAIUCD DBT – ₹0.38 lakh.116 PPIUCD and 9 PAIUCD insertions (125 beneficiaries) @ ₹300 per beneficiary. Total proposed: ₹0.38 lakh.</t>
  </si>
  <si>
    <t>Antara Programme DBT – ₹0.18 lakh. A total of 177 doses (87 first, 36 second, 26 third and 28 fourth &amp; subsequent doses) @ ₹100 per dose. Total pro-posed: ₹0.18 lakh.</t>
  </si>
  <si>
    <t>PPIUCD/PAIUCD DBT – ₹0.07 lakh.22 PPIUCD in-sertions @ ₹300 per beneficiary. Total proposed: ₹0.07 lakh.</t>
  </si>
  <si>
    <t>Antara Programme DBT – ₹0.34 lakh. A total of 344 doses (246 first, 67 second, 21 third and 10 fourth &amp; subsequent doses) @ ₹100 per dose. Total pro-posed: ₹0.34 lakh.</t>
  </si>
  <si>
    <t>PPIUCD/PAIUCD DBT – ₹0.18 lakh.58 PPIUCD and 1 PAIUCD insertions (59 beneficiaries) @ ₹300 per beneficiary. Total proposed: ₹0.18 lakh.</t>
  </si>
  <si>
    <t>Antara Programme DBT – ₹0.10 lakh. A total of 96 doses (36 first, 34 second, 16 third and 10 fourth &amp; subsequent doses) @ ₹100 per dose. Total pro-posed: ₹0.10 lakh.</t>
  </si>
  <si>
    <t>PPIUCD/PAIUCD DBT – ₹0.37 lakh. 124 PPIUCD insertions (124 beneficiaries) @ ₹300 per benefi-ciary. Total proposed: ₹0.37 lakh.</t>
  </si>
  <si>
    <t>Antara Programme DBT – ₹0.116 lakh. A total of 116 doses (90 first, 22 second, 3 third and 1 fourth &amp; subsequent dose) @ ₹100 per dose. Total pro-posed: ₹0.12 lakh.</t>
  </si>
  <si>
    <t>DBT - 2.4 L
Approved for 20 RCS cases @ Rs 12000/ Patient
Equipment - 0.22 L 
1. Procurement of other equipment: NLEP- MCR
Approved Rs 0.16 Lakhs for MCR Chappals @  Rs 400 per unit
2. Procurement of other equipment: NLEP- Aids/Appliance
Approved Rs 0.06 Lakhs for Self care kit @ Rs 150 per unit 
OOC - 1.1 L
Approved for Early detection in camps, ulcer management, and prevention of deformity @ Rs 10000 per camp</t>
  </si>
  <si>
    <t xml:space="preserve">
OOC - 8.00 L
Approved Rs 8 Lakhs for NGO activities under NLEP- St. Johns Health Services, Pirappancode, Trivandrum
</t>
  </si>
  <si>
    <t xml:space="preserve">Diagnostics - 0.2 L
Approved Rs 0.2 Lakhs per district for drugs required for management of reaction 
OOC - 45.551 L: 
1. Approved Rs 1.2 L for Case Detection and Management in urban Areas
2. Approved an amount of Rs 40.02 L as incentive @ Rs 1000 per Volunteer for LCDC
3.Approved Rs 2.001 L for Orientation training-Training of ASHAS in connection with LCDC
4. Approved Rs 0.68 Lakhs for Advocacy/ IEC (Rs 4000/block of urban area) in connection with LCDC.
5. Approved Rs 0.6003 Lakhs for Printing reporting formats Rs. 30/team in connection with LCDC 
6.Approved an amount of Rs 0.85 L as POL, transport  (field supervisors) for LCDC @ Rs 5000 per block
7. Approved Rs 0.2001 Lakhs for Logistics Rs.10/ team in connection with LCDC.
</t>
  </si>
  <si>
    <t>Equipment - 0.17 L 
1. Procurement of other equipment: NLEP- MCR
Approved Rs 0.14 Lakhs for MCR Chappals @  Rs 400 per unit
2. Procurement of other equipment: NLEP- Aids/Appliance
Approved Rs 0.03 Lakhs for Self care kit @ Rs 150 per unit 
OOC - 1.1 L
Approved for Early detection in camps, ulcer management, and prevention of deformity@ Rs 10000 per camp</t>
  </si>
  <si>
    <t>Equipment - 0.104 L 
1. Procurement of other equipment: NLEP- MCR
Approved Rs 0.08 Lakhs for MCR Chappals @  Rs 400 per unit
2. Procurement of other equipment: NLEP- Aids/Appliance
Approved Rs 0.024 Lakhs for Self care kit @ Rs 150 per unit 
OOC - 1.1 L
Approved for Early detection in camps, ulcer management, and prevention of deformity@ Rs 10000 per camp</t>
  </si>
  <si>
    <t>Diagnostics - 0.2 L
Approved Rs 0.2 Lakhs per district for drugs required for management of reaction 
OOC - 87.727 L:
1. Approved 1.2 L for Case Detection and Management in urban Areas
2. Approved an amount of Rs 78.68  L as incentive @ Rs 1000 per Volunteer for LCDC
3. Approved Rs 3.934 L for Orientation training-Training of ASHAS in connection with LCDC
4. Approved Rs 1.04 Lakhs for Advocacy/ IEC (Rs 4000/block of urban area) in connection with LCDC.
5. Approved Rs 1.18 Lakhs for Printing reporting formats Rs. 30/team in connection with LCDC 
6.  Approved Rs 0.393 Lakhs for Logistics Rs.10/ team in connection with LCDC.
7. Approved Rs 1.3 Lakhs for Supervision and monitoring @ Rs 3000 per block in connection with LCDC</t>
  </si>
  <si>
    <t>Equipment - 0.112 L 
1. Procurement of other equipment: NLEP- MCR
Approved Rs 0.1 Lakhs for MCR Chappals @  Rs 400 per unit
2. Procurement of other equipment: NLEP- Aids/Appliance
Approved Rs 0.012 Lakhs for Self care kit @ Rs 150 per unit 
OOC - 1.1 L
Approved for Early detection in camps, ulcer management, and prevention of deformity@ Rs10000 per camp</t>
  </si>
  <si>
    <t>Equipment - 0.11 L 
1. Procurement of other equipment: NLEP- MCR
Approved Rs 0.08 Lakhs for MCR Chappals @  Rs 400 per unit
2. Procurement of other equipment: NLEP- Aids/Appliance
Approved Rs 0.030 Lakhs for Self care kit @ Rs 150 per unit 
OOC - 1.1 L
Approved for Early detection in camps, ulcer management, and prevention of deformity @ Rs 10000 per camp</t>
  </si>
  <si>
    <t>Equipment - 0.74 L 
1. Procurement of other equipment: NLEP- MCR
Approved Rs 0.052 Lakhs for MCR Chappals @  Rs 400 per unit
2. Procurement of other equipment: NLEP- Aids/Appliance
Approved Rs 0.02 Lakhs for Self care kit @ Rs 150 per unit.
OOC - 1.1 L
Approved for Early detection in camps, ulcer management, and prevention of deformity @ Rs 10000 per camp</t>
  </si>
  <si>
    <t>Equipment - 0.122 L 
1. Procurement of other equipment: NLEP- MCR
Approved Rs 0.08 Lakhs for MCR Chappals @  Rs 400 per unit
2. Procurement of other equipment: NLEP- Aids/Appliance
Approved Rs 0.042 Lakhs for Self care kit @ Rs 150 per unit 
OOC - 1.10 L
Approved for Early detection in camps, ulcer management, and prevention of deformity @ Rs 10000 per camp</t>
  </si>
  <si>
    <t>Equipment - 0.18 L 
1. Procurement of other equipment: NLEP- MCR
Approved Rs 0.12 Lakhs for MCR Chappals @  Rs 400 per unit
2. Procurement of other equipment: NLEP- Aids/Appliance
Approved Rs 0.06 Lakhs for Self care kit @ Rs 150 per unit 
OOC - 1.10 L
Approved for Early detection in camps, ulcer management, and prevention of deformity @ Rs 10000 per camp</t>
  </si>
  <si>
    <t>Equipment - 0.29 L 
1. Procurement of other equipment: NLEP- MCR
Approved Rs 0.20 Lakhs for MCR Chappals @  Rs 400 per unit
2. Procurement of other equipment: NLEP- Aids/Appliance
Approved Rs 0.09 Lakhs for Self care kit @ Rs 150 per unit 
OOC - 1.10 L
Approved for Early detection in camps, ulcer management, and prevention of deformity @ Rs 10000 per camp</t>
  </si>
  <si>
    <t>Equipment - 0.186 L 
1. Procurement of other equipment: NLEP- MCR
Approved Rs 0.12 Lakhs for MCR Chappals @  Rs 400 per unit
2. Procurement of other equipment: NLEP- Aids/Appliance
Approved Rs 0.066 Lakhs for Self care kit @ Rs 150 per unit 
OOC - 1.10 L
Approved for Early detection in camps, ulcer management, and prevention of deformity @ Rs 10000 per camp</t>
  </si>
  <si>
    <t>Diagnostics - 0.2 L
Approved Rs 0.2 Lakhs per district for drugs required for management of reaction 
OOC - 94.03 L:
1. Approved Rs 1.8 L for Case Detection and Management in urban Areas
2. Approved an amount of Rs 83.0 L as incentive @ Rs 1000 per Volunteer for LCDC
3. Approved Rs 4.15 L for Orientation training-Training of ASHAS in connection with LCDC
4. Approved Rs 1.52 Lakhs for Advocacy/ IEC (Rs 4000/block of urban area) in connection with LCDC.
5. Approved Rs 1.245 Lakhs for Printing reporting formats Rs. 30/team in connection with LCDC 
6. Approved Rs 0.415 Lakhs for Logistics Rs.10/ team in connection with LCDC.
7. Approved Rs 1.90 Lakhs for Supervision and monitoring @ Rs 3000 per block in connection with LCDC</t>
  </si>
  <si>
    <t>Equipment - 0.127 L 
1. Procurement of other equipment: NLEP- MCR
Approved Rs 0.10 Lakhs for MCR Chappals @  Rs 400 per unit
2. Procurement of other equipment: NLEP- Aids/Appliance
Approved Rs 0.027 Lakhs for Self care kit @ Rs 150 per unit 
OOC - 1.10 L
Approved for Early detection in camps, ulcer management, and prevention of deformity @ Rs 10000 per camp</t>
  </si>
  <si>
    <t>Equipment - 0.054 L 
1. Procurement of other equipment: NLEP- MCR
Approved Rs 0.04 Lakhs for MCR Chappals @  Rs 400 per unit
2. Procurement of other equipment: NLEP- Aids/Appliance
Approved Rs 0.014 Lakhs for Self care kit @ Rs 150 per unit 
OOC - 1.10 L
Approved for Early detection in camps, ulcer management, and prevention of deformity @ Rs 10000 per camp</t>
  </si>
  <si>
    <t>Equipment - 0.141 L 
1. Procurement of other equipment: NLEP- MCR
Approved Rs 0.12 Lakhs for MCR Chappals @  Rs 400 per unit
2. Procurement of other equipment: NLEP- Aids/Appliance
Approved Rs 0.021 Lakhs for Self care kit @ Rs 150 per unit 
OOC - 1.10 L
Approved for Early detection in camps, ulcer management, and prevention of deformity @ Rs 10000 per camp</t>
  </si>
  <si>
    <t>Equipment - 0.11 L 
1. Procurement of other equipment: NLEP- MCR
Approved Rs 0.08 Lakhs for MCR Chappals @  Rs 400 per unit
2. Procurement of other equipment: NLEP- Aids/Appliance
Approved Rs 0.03 Lakhs for Self care kit @ Rs 150 per unit 
OOC - 1.10 L
Approved for Early detection in camps, ulcer management, and prevention of deformity @ Rs 10000 per camp</t>
  </si>
  <si>
    <t>Approved Rs 2 Lakhs for conducting State level workshop in connection with LCDC</t>
  </si>
  <si>
    <t>DBT – ₹16.17 lakhs.548 BPL female sterilization beneficiaries @ ₹1000 and 1,644 APL beneficiaries @ ₹650</t>
  </si>
  <si>
    <t xml:space="preserve">NSV – ₹0.315lakh.21 NSV beneficiaries @ ₹1,500 per beneficiary </t>
  </si>
  <si>
    <t xml:space="preserve">Sterilization – Female
DBT – ₹6.97 lakhs.237 BPL beneficiaries @ ₹1000 ) and 709 APL beneficiaries @ ₹650
</t>
  </si>
  <si>
    <t xml:space="preserve">NSV – ₹0.165 lakh.11 NSV beneficiaries @ ₹1,500 </t>
  </si>
  <si>
    <t xml:space="preserve">Sterilization – Female
DBT – ₹2.29 lakhs.77 BPL beneficiaries @ ₹1000 and 234 APL beneficiaries @ ₹600 
</t>
  </si>
  <si>
    <t xml:space="preserve">NSV – ₹0.09 lakh.6 NSV beneficiaries @ ₹1,500 </t>
  </si>
  <si>
    <t xml:space="preserve">Sterilization – Female
DBT – ₹3.75 lakhs.127 BPL beneficiaries @ ₹1000,381 APL beneficiaries @ ₹650 
</t>
  </si>
  <si>
    <t xml:space="preserve">NSV – ₹0.65 lakh.43 NSV beneficiaries @ ₹1,500 </t>
  </si>
  <si>
    <t xml:space="preserve">Sterilization – Female
DBT – ₹7.4 lakhs.251 BPL beneficiaries @ ₹1000d 753 APL beneficiaries @ ₹650 
</t>
  </si>
  <si>
    <t xml:space="preserve">NSV – ₹0.75 lakh.50 NSV beneficiaries @ ₹1,500 </t>
  </si>
  <si>
    <t xml:space="preserve">Sterilization – Female
DBT – ₹2.92 lakhs.99 BPL beneficiaries @ ₹1000 and 298 APL beneficiaries @ ₹650 
</t>
  </si>
  <si>
    <t xml:space="preserve">NSV – ₹0.15 lakh.10 NSV beneficiaries @ ₹1,500 </t>
  </si>
  <si>
    <t xml:space="preserve">Sterilization – Female
DBT – ₹4.91 lakhs.167 BPL beneficiaries @ ₹1000)and 499 APL beneficiaries @ ₹650
</t>
  </si>
  <si>
    <t xml:space="preserve">NSV – ₹0.27 lakh.18 NSV beneficiaries @ ₹1,500 </t>
  </si>
  <si>
    <t xml:space="preserve">Sterilization – Female
DBT – ₹8.47 lakhs.287 BPL beneficiaries @ ₹1000 and 862 APL beneficiaries @ ₹650
</t>
  </si>
  <si>
    <t xml:space="preserve">NSV – ₹1.20 lakhs.80 NSV beneficiaries @ ₹1,500 </t>
  </si>
  <si>
    <t xml:space="preserve">Sterilization – Female
DBT – ₹7.42 lakhs.252 BPL beneficiaries @ ₹1000 ( and 754 APL beneficiaries @ ₹650
</t>
  </si>
  <si>
    <t xml:space="preserve">NSV – ₹0.47 lakh.31 NSV beneficiaries @ ₹1,500 </t>
  </si>
  <si>
    <t xml:space="preserve">Sterilization – Female
DBT – ₹6.06 lakhs.206 BPL beneficiaries @ ₹1000 and 616 APL beneficiaries @ ₹650
</t>
  </si>
  <si>
    <t xml:space="preserve">Sterilization – Female
DBT – ₹10.54 lakhs.357 BPL beneficiaries @ ₹ and 1,072 APL beneficiaries @ ₹650.
</t>
  </si>
  <si>
    <t xml:space="preserve">Sterilization – Female
DBT – ₹3.26 lakhs.111 BPL beneficiaries @ ₹1000 and 332 APL beneficiaries @ ₹650.
</t>
  </si>
  <si>
    <t>NSV – ₹0.2 lakh.13 NSV beneficiaries @ ₹1,500</t>
  </si>
  <si>
    <t xml:space="preserve">Sterilization – Female
DBT – ₹4.24 lakhs.144 BPL beneficiaries @ ₹1000) and 432 APL beneficiaries @ ₹650
</t>
  </si>
  <si>
    <t>NSV – ₹0.39 lakh.26 NSV beneficiaries @ ₹1,500</t>
  </si>
  <si>
    <t xml:space="preserve">Sterilization – Female
DBT – ₹2.2 lakhs.74 BPL beneficiaries @ ₹1000 lakh) and 221 APL beneficiaries @ ₹650
</t>
  </si>
  <si>
    <t xml:space="preserve">NSV – ₹0.345 lakh.23 NSV beneficiaries @ ₹1,500 </t>
  </si>
  <si>
    <t>Approved Rs 0.14 Lakh for conducting 7 Outreach camps @ Rs 2000 per camp</t>
  </si>
  <si>
    <t>Purchase of Hep A &amp; E-Drugs at district level @ 0.5L per district</t>
  </si>
  <si>
    <t>Approved Rs 0.10 Lakh for conducting 5 Outreach camps @ Rs 2000 per camp</t>
  </si>
  <si>
    <t>Approved Rs 0.12 Lakh for conducting 6 Outreach camps @ Rs 2000 per camp</t>
  </si>
  <si>
    <t>Approved Rs 0.08 Lakh for conducting 4 Outreach camps @ Rs 2000 per camp</t>
  </si>
  <si>
    <t>HBIG for 483 newborns born to HbsAg Positive mothers - newborn  of HbsAg Positive women @ Rs 2000/- per newborn</t>
  </si>
  <si>
    <t xml:space="preserve"> NVHCP Incentives -Rs.15.24 lakhs 
a) Incentives for Medical Officers, Lab Technicians &amp; Pharmacists (Rs 15.24 Lakhs)
i) Medical Officers for treatment of Hepatitis B patients @ Rs 500/patient 
ii) Medical Officers for Treatment of Hepatitis C patients @ Rs 200/patient .
iii)  Lab Technicians for HBV testing @ Rs 5/test , for HCV testing @ Rs 5/test for 250000 tests .
iv) Pharmacists for dispensation and counseling of Hepatitis B patients @ Rs 40/patient , for dispensation and counseling of Hepatitis C patients @ Rs 30/patient. 
</t>
  </si>
  <si>
    <t>1. Referral Network of laboratories (Govt. Medical College labs) - Rs. 1 Lakhs per SRLs
2- For VPD - Rs. 0.50 Lakhs per districts VPD Sureveillance</t>
  </si>
  <si>
    <t xml:space="preserve"> For VPD - Rs. 0.50 Lakhs per districts VPD Sureveillance</t>
  </si>
  <si>
    <t xml:space="preserve"> SRRE - For VPD - Rs. 1 Lakhs  VPD Sureveillance meeting</t>
  </si>
  <si>
    <t xml:space="preserve">1.NVHCP Incentives -Rs.9.40 lakhs 
a) Incentives for Medical Officers, Lab Technicians &amp; Pharmacists (Rs 4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3 Centres (Rs 5.4 Lakhs)
2. eSanjeevani Telemedicine Rs.267.69 lakhs 
1) Remuneration for 13 specialist doctors  – 122.07 Lakhs
2) Remuneration for 26 Medical Officers  – 154.622 Lakhs
</t>
  </si>
  <si>
    <t>1. NVHCP Incentives -Rs.7.40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3 Centres (Rs 5.4 Lakhs)
2. eSanjeevani Telemedicine Rs.36.62 lakhs 
1)Remuneration for 2 specialist doctors  – 18.78 Lakhs
2) Remuneration for 3 Medical Officers  – 17.84 Lakhs</t>
  </si>
  <si>
    <t>1.NVHCP Incentives -Rs.5.60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2 Centres (Rs 3.6 Lakhs)
2.eSanjeevani Telemedicine Rs.37.56 lakhs 
Remuneration for 4 specialist doctors  – 37.56 Lakhs</t>
  </si>
  <si>
    <t>1. NVHCP Incentives -Rs.5.60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2 Centres (Rs 3.6 Lakhs)
2.eSanjeevani Telemedicine Rs.37.56 lakhs 
Remuneration for 4 specialist doctors  – 37.56 Lakhs</t>
  </si>
  <si>
    <t>1. NVHCP Incentives -Rs7.60 lakhs 
a) Incentives for Medical Officers, Lab Technicians &amp; Pharmacists (Rs 4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2 Centres (Rs 3.6 Lakhs)
2.eSanjeevani Telemedicine Rs.56.34 lakhs 
Remuneration for 6 specialist doctors  – 56.34 Lakhs</t>
  </si>
  <si>
    <t>NVHCP Incentives -Rs.7.40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3 Centres (Rs 5.4 Lakhs)
2.eSanjeevani Telemedicine Rs.11.89 lakhs 
Remuneration for 2Medical Officers  – 11.89 Lakhs</t>
  </si>
  <si>
    <t xml:space="preserve">NVHCP Incentives -Rs.5.60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2 Centres (Rs 3.6 Lakhs)
2.eSanjeevani Telemedicine Rs.42.56 lakhs 
1. Remuneration for 2 specialist doctors  – 18.78 Lakhs
2. Remuneration for 4Medical Officers  – 23.78 Lakhs
</t>
  </si>
  <si>
    <t>NVHCP Incentives -Rs.5.60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2 Centres (Rs 3.6 Lakhs)
2.eSanjeevani Telemedicine Rs.21.28 lakhs 
1. Remuneration for 1 specialist doctors  – 9.39 Lakhs
2. Remuneration for 2Medical Officers  – 11.89 Lakhs</t>
  </si>
  <si>
    <t xml:space="preserve">NVHCP Incentives -Rs.9.20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4 Centres (Rs 7.2 Lakhs)
2.eSanjeevani Telemedicine Rs.68.23 lakhs 
1. Remuneration for 5 specialist doctors  – 56.34 Lakhs
2. Remuneration for 2Medical Officers  – 11.89 Lakhs
</t>
  </si>
  <si>
    <t xml:space="preserve">NVHCP Incentives -Rs.7.60 lakhs 
a) Incentives for Medical Officers, Lab Technicians &amp; Pharmacists (Rs 4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2 Centres (Rs 3.6 Lakhs)
2.eSanjeevani Telemedicine Rs.92.02 lakhs 
1. Remuneration for 6 specialist doctors  – 56.34 Lakhs
2. Remuneration for 6Medical Officers  – 35.68 Lakhs
</t>
  </si>
  <si>
    <t xml:space="preserve">NVHCP Incentives -Rs.5.60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2 Centres (Rs 3.6 Lakhs)
2.eSanjeevani Telemedicine Rs.40.06 lakhs 
1. Remuneration for 3 specialist doctors  – 28.17 Lakhs
2. Remuneration for 2Medical Officers  – 11.89 Lakhs
</t>
  </si>
  <si>
    <t>NVHCP Incentives -Rs.5.60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2 Centres (Rs 3.6 Lakhs)
2.eSanjeevani Telemedicine Rs.11.89 lakhs 
1. Remuneration for 2Medical Officers  – 11.89 Lakhs</t>
  </si>
  <si>
    <t xml:space="preserve">NVHCP Incentives -Rs.3.80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iv) Pharmacists for dispensation and counseling of Hepatitis B patients @ Rs 40/patient , for dispensation and counseling of Hepatitis C patients @ Rs 30/patient. 
b) Peer Supporter Incentives @ Rs 15000/ month/TC  in 1 Centre (Rs 1.8 Lakhs)
2.eSanjeevani Telemedicine Rs.42.56 lakhs 
Approved Amount - Rs. 42.56Lakhs
1. Remuneration for 2 specialist doctors  – 18.78 Lakhs
2. Remuneration for 4Medical Officers  – 23.78 Lakhs
</t>
  </si>
  <si>
    <t>4 DH/GH @ Rs.250000/-, 8 SDH @ Rs.1,00,000/-, 1641 VHSC @ Rs.5000/-</t>
  </si>
  <si>
    <t>1 DH/GH @ Rs.250000/-, 9 SDH @ Rs.1,00,000/-, 1505 VHSC @ Rs.5000/-</t>
  </si>
  <si>
    <t>3 DH/GH @ Rs.250000/-, 4 SDH @ Rs.1,00,000/-, 968 VHSC @ Rs.5000/-</t>
  </si>
  <si>
    <t>3 DH/GH @ Rs.250000/-, 6 SDH @ Rs.1,00,000/-, 1472 VHSC @ Rs.5000/-</t>
  </si>
  <si>
    <t>4 DH/GH @ Rs.250000/-, 3 SDH @ Rs.1,00,000/-, 1431 VHSC @ Rs.5000/-</t>
  </si>
  <si>
    <t>2 DH/GH @ Rs.250000/-, 4 SDH @ Rs.1,00,000/-, 907 VHSC @ Rs.5000/-</t>
  </si>
  <si>
    <t>3 DH/GH @ Rs.250000/-, 11 SDH @ Rs.1,00,000/-, 1990 VHSC @ Rs.5000/-</t>
  </si>
  <si>
    <t>3 DH/GH @ Rs.250000/-, 6 SDH @ Rs.1,00,000/-, 1943 VHSC @ Rs.5000/-</t>
  </si>
  <si>
    <t>1 DH/GH @ Rs.250000/-, 7 SDH @ Rs.1,00,000/-, 1885 VHSC @ Rs.5000/-</t>
  </si>
  <si>
    <t>4 DH/GH @ Rs.250000/-, 7 SDH @ Rs.1,00,000/-, 2506 VHSC @ Rs.5000/-</t>
  </si>
  <si>
    <t>2 DH/GH @ Rs.250000/-, 7 SDH @ Rs.1,00,000/-, 1692 VHSC @ Rs.5000/-</t>
  </si>
  <si>
    <t>2 DH/GH @ Rs.250000/-, 2 SDH @ Rs.1,00,000/-, 553 VHSC @ Rs.5000/-</t>
  </si>
  <si>
    <t>2 DH/GH @ Rs.250000/-, 9 SDH @ Rs.1,00,000/-, 1660 VHSC @ Rs.5000/-</t>
  </si>
  <si>
    <t>2 DH/GH @ Rs.250000/-, 5 SDH @ Rs.1,00,000/-, 845 VHSC @ Rs.5000/-</t>
  </si>
  <si>
    <t>Remuneration for NHM HR SD and PM staff. Details in HR Annexure</t>
  </si>
  <si>
    <t>Remuneration forl MLSP staff. Details in HR Annexure</t>
  </si>
  <si>
    <t xml:space="preserve">OOC
1.Rs. 6151200-  Mobile  allowance @ Rs.200 for 2563 ASHA’s 
2. Rs.96000- Quarterly review meeting for 80ASHA @ Rs.300
</t>
  </si>
  <si>
    <t xml:space="preserve">1. Rs. 4682400-  Mobile  allowance @ Rs.200 for 1951 ASHA’s 
2.  Rs.84,000- Quarterly review meeting for 70 ASHA @ Rs.300
</t>
  </si>
  <si>
    <t xml:space="preserve">1. Rs. 2498400-  Mobile  allowance @ Rs.200 for 1041 ASHA’s 
2. Rs.109200- Quarterly review meeting for 91ASHA @ Rs.300
</t>
  </si>
  <si>
    <t xml:space="preserve">1. Rs. 4716000-  Mobile  allowance @ Rs.200 for 1965 ASHA’s 
 2. Rs.102000- Quarterly review meeting for  85 ASHA @ Rs.300
</t>
  </si>
  <si>
    <t xml:space="preserve">1. Rs. 2500800-  Mobile  allowance @ Rs.200 for 1042 ASHA’s 
2. Rs.72000- Quarterly review meeting for 60 ASHA @ Rs.300
</t>
  </si>
  <si>
    <t xml:space="preserve">1. Rs. 5700000-  Mobile  allowance @ Rs.200 for 2375 ASHA’s 
2.  Rs.132000- Quarterly review meeting for 110 ASHA @ Rs.300
</t>
  </si>
  <si>
    <t xml:space="preserve">1. Rs. 5618400-  Mobile  allowance @ Rs.200 for 2341 ASHA’s 
2. Rs.138000- Quarterly review meeting for 115 ASHA @ Rs.300
</t>
  </si>
  <si>
    <t xml:space="preserve">1. Rs. 5560800-  Mobile  allowance @ Rs.200 for 2317 ASHA’s 
2.  Rs.138000- Quarterly review meeting for 115 ASHA @ Rs.300
</t>
  </si>
  <si>
    <t xml:space="preserve">1. Rs. 7596000-  Mobile  allowance @ Rs.200 for 3165 ASHA’s 
2.Rs.156000- Quarterly review meeting for  130 ASHA @ Rs.300
</t>
  </si>
  <si>
    <t xml:space="preserve">1. Rs. 4896000-  Mobile  allowance @ Rs.200 for 2040 ASHA’s 
2. Rs.132000- Quarterly review meeting for  110ASHA @ Rs.300
</t>
  </si>
  <si>
    <t xml:space="preserve">1. Rs. 2212800-  Mobile  allowance @ Rs.200 for 922 ASHA’s 
2. Rs.60000- Quarterly review meeting for 50 ASHA @ Rs.300
</t>
  </si>
  <si>
    <t xml:space="preserve">1.Rs. 4646400-  Mobile  allowance @ Rs.200 for 1936  ASHA’s 
2.Rs.132000- Quarterly review meeting for 110 ASHA @ Rs.300
</t>
  </si>
  <si>
    <t xml:space="preserve">1. Rs. 2224800-  Mobile  allowance @ Rs.200 for  927 ASHA’s 
2.  Rs.54000- Quarterly review meeting for  45 ASHA @ Rs.300
</t>
  </si>
  <si>
    <t>1. Civil Wors- Rs.195 lakhs -Revalidated amount
2. OOC -Rs.1.00 lakh for conducting the quarterly review meetings and continuing education activities of CHOs.</t>
  </si>
  <si>
    <t>1. Civil Wors- Rs.95 lakhs -Revalidated amount
2. OOC -Rs.1.00 lakh for conducting the quarterly review meetings and continuing education activities of CHOs.</t>
  </si>
  <si>
    <t xml:space="preserve">Rs.17.532 lakh for providing telemedicine services at the rate of Rs.3,600 per 487 Sub Centre-AAM (SC-AAM). </t>
  </si>
  <si>
    <t xml:space="preserve">Rs.15.156 lakh for providing telemedicine services at the rate of Rs.3,600 per 421 Sub Centre-AAM (SC-AAM). </t>
  </si>
  <si>
    <t>1. Civil Wors- Rs.180 lakhs -Revalidated amount
2. OOC -Rs.1.00 lakh for conducting the quarterly review meetings and continuing education activities of CHOs.</t>
  </si>
  <si>
    <t xml:space="preserve">Rs.9.396 lakh for providing telemedicine services at the rate of Rs.3,600 per 261 Sub Centre-AAM (SC-AAM). </t>
  </si>
  <si>
    <t>1. Civil Wors- Rs.130 lakhs -Revalidated amount
2. OOC -Rs.1.00 lakh for conducting the quarterly review meetings and continuing education activities of CHOs.</t>
  </si>
  <si>
    <t xml:space="preserve">Rs.13.176 lakh for providing telemedicine services at the rate of Rs.3,600 per 366 Sub Centre-AAM (SC-AAM). </t>
  </si>
  <si>
    <t>1. Civil Wors- Rs.190 lakhs -Revalidated amount
2. OOC -Rs.1.00 lakh for conducting the quarterly review meetings and continuing education activities of CHOs.</t>
  </si>
  <si>
    <t xml:space="preserve">Rs.11.124 lakh for providing telemedicine services at the rate of Rs.3,600 per 309 Sub Centre-AAM (SC-AAM). </t>
  </si>
  <si>
    <t xml:space="preserve">Rs.11.988 lakh for providing telemedicine services at the rate of Rs.3,600 per 333 Sub Centre-AAM (SC-AAM). </t>
  </si>
  <si>
    <t xml:space="preserve">Rs.14.76 lakh for providing telemedicine services at the rate of Rs.3,600 per 410 Sub Centre-AAM (SC-AAM). </t>
  </si>
  <si>
    <t>1. Civil Wors- Rs.125 lakhs -Revalidated amount
2. OOC -Rs.1.00 lakh for conducting the quarterly review meetings and continuing education activities of CHOs.</t>
  </si>
  <si>
    <t xml:space="preserve">Rs. 16.956 lakh for providing telemedicine services at the rate of Rs.3,600 per 471 Sub Centre-AAM (SC-AAM). </t>
  </si>
  <si>
    <t>1. Civil Wors- Rs.115 lakhs -Revalidated amount
2. OOC -Rs.1.00 lakh for conducting the quarterly review meetings and continuing education activities of CHOs.</t>
  </si>
  <si>
    <t xml:space="preserve">Rs.18.144 lakh for providing telemedicine services at the rate of Rs.3,600 per 504 Sub Centre-AAM (SC-AAM). </t>
  </si>
  <si>
    <t>1. Civil Wors- Rs.145 lakhs -Revalidated amount
2. OOC -Rs.1.00 lakh for conducting the quarterly review meetings and continuing education activities of CHOs.</t>
  </si>
  <si>
    <t xml:space="preserve">Rs.21.204 lakh for providing telemedicine services at the rate of Rs.3,600 per 589 Sub Centre-AAM (SC-AAM). </t>
  </si>
  <si>
    <t>1. Civil Wors- Rs.90 lakhs -Revalidated amount
2. OOC -Rs.1.00 lakh for conducting the quarterly review meetings and continuing education activities of CHOs.</t>
  </si>
  <si>
    <t xml:space="preserve">Rs.14.436 lakh for providing telemedicine services at the rate of Rs.3,600 per 401 Sub Centre-AAM (SC-AAM). </t>
  </si>
  <si>
    <t xml:space="preserve">Rs.7.2 lakh for providing telemedicine services at the rate of Rs.3,600 per 200 Sub Centre-AAM (SC-AAM). </t>
  </si>
  <si>
    <t>1. Civil Wors- Rs.60 lakhs -Revalidated amount
2. OOC -Rs.1.00 lakh for conducting the quarterly review meetings and continuing education activities of CHOs.</t>
  </si>
  <si>
    <t>1. Civil Wors- Rs.140 lakhs -Revalidated amount
2. OOC -Rs.1.00 lakh for conducting the quarterly review meetings and continuing education activities of CHOs.</t>
  </si>
  <si>
    <t xml:space="preserve">Rs.15.012 lakh for providing telemedicine services at the rate of Rs.3,600 per 417 Sub Centre-AAM (SC-AAM). </t>
  </si>
  <si>
    <t>1. Civil Wors- Rs.210 lakhs -Revalidated amount
2. OOC -Rs.1.00 lakh for conducting the quarterly review meetings and continuing education activities of CHOs.</t>
  </si>
  <si>
    <t xml:space="preserve">Rs.8.892 lakh for providing telemedicine services at the rate of Rs.3,600 per 247 Sub Centre-AAM (SC-AAM). </t>
  </si>
  <si>
    <t>Equipment for new W&amp; C Block in the Selected Hospital in Wayanad district(  Aspiration district &amp; Tribal area)
2.Rs.1484.01lakhs revalidation</t>
  </si>
  <si>
    <t>1.Equipment for new/existing SNCU/NBSU/NBCC, .payment towads the supply of equipment, bills waiting from KMSCL-Rs 186.7 L
2. For the ongoing construction activity- Rs 120L. Civil works details Annexed</t>
  </si>
  <si>
    <t>Equipment for Paediatic Ward
701.963 revalidation</t>
  </si>
  <si>
    <t>Rs.161.519 revalidation</t>
  </si>
  <si>
    <t>a) Procurement of ARV and ARS - Rs 2750 Lakhs  
b) Procurement of Mental Health Drugs Rs. 1400 Lakhs 
c) Procurement of NCD Drugs Rs.370 Lakhs
d) ASV drugs -180 lakhs
e) Rs.1276.65547 revalidation for ARV</t>
  </si>
  <si>
    <t xml:space="preserve">Equipment.Payment towads the supply of equipment, bills waiting from KMSCL   </t>
  </si>
  <si>
    <t>5th year contract value of BEMP, 1500 lakhs revalidation</t>
  </si>
  <si>
    <t>Diagnostics - 0.2 L
Approved Rs 0.2 Lakhs per district for drugs required for management of reaction 
OOC - 116.749 L:
1.  Approved 1.2 L for Case Detection and Management in urban Areas
2. Approved an amount of Rs 104.12 L as incentive @ Rs 1000 per Volunteer for LCDC
3. Approved Rs 5.206 L for Orientation training-Training of ASHAS in connection with LCDC
4. Approved Rs 1.84 Lakhs for Advocacy/ IEC (Rs 4000/block of urban area) in connection with LCDC.
5. Approved Rs 1.562 Lakhs for Printing reporting formats Rs. 30/team in connection with LCDC 
6. Approved Rs 0.521 Lakhs for Logistics Rs.10/ team in connection with LCDC.
7. Approved Rs 2.30 Lakhs for Supervision and monitoring @ Rs 3000 per block in connection with LCDC
8.Rs. 13 lakhs for LCDC pending payment-revalidation</t>
  </si>
  <si>
    <t>Diagnostics - 0.2 L
Approved Rs 0.2 Lakhs per district for drugs required for management of reaction 
OOC - 50.417 L: 
1. Approved 0.8 L for Case Detection and Management in urban Areas
2. Approved an amount of Rs 44.52 L as incentive @ Rs 1000 per Volunteer for LCDC
3. Approved Rs 2.226 L for Orientation training-Training of ASHAS in connection with LCDC
4.Approved Rs 0.88 Lakhs for Advocacy/ IEC (Rs 4000/block of urban area) in connection with LCDC.
5. Approved Rs 0.668 Lakhs for Printing reporting formats Rs. 30/team in connection with LCDC 
6. Approved Rs 0.223 Lakhs for Logistics Rs.10/ team in connection with LCDC.
7. Approved Rs 1.1 Lakhs for Supervision and monitoring @ Rs 5000 per block in connection with LCDC
8.Rs. 13 lakhs for LCDC pending payment-revalidation</t>
  </si>
  <si>
    <t>Diagnostics - 0.2 L
Approved Rs 0.2 Lakhs per district for drugs required for management of reaction 
OOC -35.622 L: 
1. Approved Rs 1.2 L for Case Detection and Management in urban Areas
2.Approved an amount of Rs 30.74 L as incentive @ Rs 1000 per Volunteer for LCDC
3. Approved Rs 1.537 for Orientation training-Training of ASHAS in connection with LCDC
4. Approved Rs 0.68 Lakhs for Advocacy/ IEC (Rs 4000/block of urban area) in connection with LCDC.
5. Approved Rs 0.4611 Lakhs for Printing reporting formats Rs. 30/team in connection with LCDC 
6. Approved Rs 0.1537 Lakhs for Logistics Rs.10/ team in connection with LCDC.
7. Approved Rs 0.85 Lakhs for Supervision and monitoring @ Rs 3000 per block in connection with LCDC
8.Rs. 1 lakh for LCDC pending payment-revalidation</t>
  </si>
  <si>
    <t>Diagnostics - 0.2 L
Approved Rs 0.2 Lakhs per district for drugs required for management of reaction 
OOC - 47.045 L: 
1. Approved Rs 0.4 L for Case Detection and Management in urban Areas
2. Approved an amount of Rs 42.08 L as incentive @ Rs 1000 per Volunteer for LCDC
3. Approved Rs 2.104 L for Orientation training-Training of ASHAS in connection with LCDC
4. Approved Rs 0.72 Lakhs for Advocacy/ IEC (Rs 4000/block of urban area) in connection with LCDC.
5. Approved Rs 0.631 Lakhs for Printing reporting formats Rs. 30/team in connection with LCDC 
6. Approved Rs 0.2104 Lakhs for Logistics Rs.10/ team in connection with LCDC.
7. Approved Rs 0.90 Lakhs for Supervision and monitoring @ Rs 3000 per block in connection with LCDC
8. Rs. 26.50 lakhs for LCDC pending payment-revalidation</t>
  </si>
  <si>
    <t>Diagnostics - 0.2 L
Approved Rs 0.2 Lakhs per district for drugs required for management of reaction 
OOC - 110.502 L: 
1.Approved Rs 3 Lfor Case Detection and Management in urban Areas
2. Approved an amount of Rs 96.6 L as incentive @ Rs 1000 per Volunteer for LCDC
3. Approved Rs 4.83 for Orientation training-Training of ASHAS in connection with LCDC
4. Approved Rs 1.84 Lakhs for Advocacy/ IEC (Rs 4000/block of urban area) in connection with LCDC.
5. Approved Rs 1.449 Lakhs for Printing reporting formats Rs. 30/team in connection with LCDC 
6.Approved Rs 0.483 Lakhs for Logistics Rs.10/ team in connection with LCDC.
7. Approved Rs 2.3 Lakhs for Supervision and monitoring @ Rs 3000 per block in connection with LCDC
8.Rs. 7.1 lakhs for LCDC pending payment-revalidation</t>
  </si>
  <si>
    <t>Diagnostics - 0.2 L
Approved Rs 0.2 Lakhs per district for drugs required for management of reaction 
OOC - 107.153 L:
1.  Approved Rs 1.8 L for Case Detection and Management in urban Areas
2. Approved an amount of Rs 94.76 L as incentive @ Rs 1000 per Volunteer for LCDC
3. Approved Rs 4.738 L for Orientation training-Training of ASHAS in connection with LCDC
4. Approved Rs 1.76 Lakhs for Advocacy/ IEC (Rs 4000/block of urban area) in connection with LCDC.
5. Approved Rs 0.1.421 Lakhs for Printing reporting formats Rs. 30/team in connection with LCDC 
6. Approved Rs 0.474 Lakhs for Logistics Rs.10/ team in connection with LCDC.
7. Approved Rs 2.2 Lakhs for Supervision and monitoring @ Rs 3000 per block in connection with LCDC. 
8.Rs. 26.50 lakhs for LCDC pending payment-revalidation</t>
  </si>
  <si>
    <t>Diagnostics - 0.2 L
Approved Rs 0.2 Lakhs per district for drugs required for management of reaction 
OOC -106.606 L: 
1. Approved Rs 1.4 L for Case Detection and Management in urban Areas
2.Approved an amount of Rs 95.8 L as incentive @ Rs 1000 per Volunteer for LCDC
3. Approved Rs 4.79 L for Orientation training-Training of ASHAS in connection with LCDC
4. Approved Rs 1.2 Lakhs for Advocacy/ IEC (Rs 4000/block of urban area) in connection with LCDC.
5. Approved Rs 1.437 Lakhs for Printing reporting formats Rs. 30/team in connection with LCDC 
6.Approved Rs 0.479 Lakhs for Logistics Rs.10/ team in connection with LCDC.
7. Approved Rs 1.5 Lakhs for Supervision and monitoring @ Rs 3000 per block in connection with LCDC
8.Rs. 8 lakhs for LCDC pending payment-revalidation</t>
  </si>
  <si>
    <t>Diagnostics - 0.2 L
Approved Rs 0.2 Lakhs per district for drugs required for management of reaction 
OOC - 143.062 L
 1. Approved Rs 2.4 Lfor Case Detection and Management in urban Areas
2. Approved an amount of Rs 128.6 L as incentive @ Rs 1000 per male Volunteer for LCDC
3. Approved Rs 6.43 for Orientation training-Training of ASHAS in connection with LCDC
4. Approved Rs 1.36 Lakhs for Advocacy/ IEC (Rs 4000/block of urban area) in connection with LCDC.
5. Approved Rs 1.929 Lakhs for Printing reporting formats Rs. 30/team in connection with LCDC 
6. Approved Rs 0.643 Lakhs for Logistics Rs.10/ team in connection with LCDC.
7. Approved Rs 1.7 Lakhs for Supervision and monitoring @ Rs 3000 per block in connection with LCDC
8.Rs. 124 lakhs for LCDC pending payment-revalidation</t>
  </si>
  <si>
    <t>Diagnostics - 0.2 L
Approved Rs 0.2 Lakhs per district for drugs required for management of reaction 
OOC - 21.299 L
1.  Approved Rs 0.6 L for Case Detection and Management in urban Areas
2. Approved an amount of Rs 18.84 L as incentive @ Rs 1000 per  Volunteer for LCDC
3. Approved Rs 0.942 L for Orientation training-Training of ASHAS in connection with LCDC
4. Approved Rs 0.24 Lakhs for Advocacy/ IEC (Rs 4000/block of urban area) in connection with LCDC.
5. Approved Rs 0.2826 Lakhs for Printing reporting formats Rs. 30/team in connection with LCDC 
6. Approved Rs 0.0942 Lakhs for Logistics Rs.10/ team in connection with LCDC.
7. Approved Rs 0.30 Lakhs for Supervision and monitoring @ Rs 3000 per block in connection with LCDC
8.Rs. 8.9 lakhs for LCDC pending payment-revalidation</t>
  </si>
  <si>
    <t>Diagnostics - 0.2 L
Approved Rs 0.2 Lakhs per district for drugs required for management of reaction 
OOC -89.738  L: 
1.Approved Rs 2.2 L for Case Detection and Management in urban Areas
2. Approved an amount of Rs 79.12 L as incentive @ Rs 1000 per Volunteer for LCDC
3. Approved Rs 3.956 L for Orientation training-Training of ASHAS in connection with LCDC
4. Approved Rs 1.28Lakhs for Advocacy/ IEC (Rs 4000/block of urban area) in connection with LCDC.
5. Approved Rs 1.187Lakhs for Printing reporting formats Rs. 30/team in connection with LCDC 
6. Approved Rs 0.396 Lakhs for Logistics Rs.10/ team in connection with LCDC.
7. Approved Rs 1.6 Lakhs for Supervision and monitoring @ Rs 3000 per block in connection with LCDC
8.Rs. 26 lakhs for LCDC pending payment-revalidation</t>
  </si>
  <si>
    <t>Diagnostics - 0.2 L
Approved Rs 0.2 Lakhs per district for drugs required for management of reaction 
OOC - Rs 21.586 L: 
1. Approved Rs 0.6 L for Case Detection and Management in urban Areas
2. Approved an amount of Rs 9.67 L as incentive @ Rs 1000 per Volunteer for LCDC
3. Approved Rs 0.947 L for Orientation training-Training of ASHAS in connection with LCDC
4. Approved Rs 0.32 Lakhs for Advocacy/ IEC (Rs 4000/block of urban area) in connection with LCDC.
5. Approved Rs 0.2841 Lakhs for Printing reporting formats Rs. 30/team in connection with LCDC 
6. Approved Rs 0.0947Lakhs for Logistics Rs.10/ team in connection with LCDC.
7. Approved Rs 0.40 Lakhs for Supervision and monitoring @ Rs 3000 per block in connection with LCDC
8.Rs. 16 lakhs for LCDC pending payment-revalidation</t>
  </si>
  <si>
    <t>Drugs - Procurment of drugs at local level - Tab. Chloroquine,    Tab.Primaquine-7.5 mg,           Injection Quinine &amp; Injection Artisunate, Artimethrine,           Adult Blister Packets  (Artesunate+SP) and ACT-AL
OOC - Operational cost for IRS including Spray wages
SRRE - Proposed for the districts based on disease status, active foci, active residual foci and other high risk areas</t>
  </si>
  <si>
    <t xml:space="preserve">OOC - Active case search shall be done in areas reporting Cutaneous Leishmaniasis or Visceral Leishmniasis. Initial syndromic screening shall be done by HCWs (health workers, ASHAs, and tribal promoters) along with testing with rk39 kits among suspected / probable cases. 
An amount of Rs.25000/district is proposed as given below for activities 
• Orientation of teams whenever ( HCWs, ASHAs, Tribal promoters etc)  whenever cases of Cutaneous Leishmaniasis. Visceral Leishmaniasis or PKDL are reported – Rs 10000/- 
• Documentation, Printing of forms etc involved in active case search  - Rs 5000/- 
• Incentive for surveillance @ Rs.5/house. Rs 5000
• Mobility support for the supervisory teams and Entomology teams – Rs 5000/- </t>
  </si>
  <si>
    <t xml:space="preserve">OOC - Operational costs for malathion  fogging - 
Per case Rs.4500/- can be used in which wages for fogging machine operator (Skilled labor) Rs.730 and helper Rs.675. balance amount may be used for purchase of other commodities like diesel and petrol. </t>
  </si>
  <si>
    <t>OOC - Rs. 2.25 Lakhs for DG&amp;CG: Vector Control,  environmental management &amp; fogging         machine-Repair &amp; Maintenance &amp;   Operational cost for larviciding including Spray wages.
Rs.  66.20 Lakhs for Wages for contingent workers for 90 days @ Rs. 675/-, implementation of Source reduction activities at urban areas
SREE -  ARL recurrent cost District &amp; SRL - State APEX lab (PH), Trivandrum -  Rs. 3 Lakhs &amp; Trivandrum ARL - 1 Lakhs</t>
  </si>
  <si>
    <t>OOC -   Funds for Hydrocelectomy (@ Rs. 750/-) &amp; Funds Morbidity management (@ Rs. 500/-)
SRRE -   Post MDA surveillance for screening of migratory population &amp; high risk areas.</t>
  </si>
  <si>
    <t xml:space="preserve">OOC - Rs. 2.65 Lakhs for DG&amp;CG: Vector Control,  environmental management &amp; fogging         machine-Repair &amp; Maintenance &amp;   Operational cost for larviciding including Spray wages.
Rs.  31.59 Lakhs for Wages for contingent workers for 90 days @ Rs. 675/-, implementation of Source reduction activities at urban areas
SREE -  ARL recurrent cost </t>
  </si>
  <si>
    <t xml:space="preserve">OOC - Rs. 2.25 Lakhs for DG&amp;CG: Vector Control,  environmental management &amp; fogging         machine-Repair &amp; Maintenance &amp;   Operational cost for larviciding including Spray wages.
Rs.  17.01 Lakhs for Wages for contingent workers for 90 days @ Rs. 675/-, implementation of Source reduction activities at urban areas
SREE -  ARL recurrent cost </t>
  </si>
  <si>
    <t>OOC -   Funds Morbidity management (@ Rs. 500/-)</t>
  </si>
  <si>
    <t xml:space="preserve">OOC - Active case search shall be done in areas reporting Cutaneous Leishmaniasis or Visceral Leishmniasis. Initial syndromic screening shall be done by HCWs (health workers, ASHAs, and tribal promoters) along with testing with rk39 kits among suspected / probable cases. 
An amount of Rs.25000/district is approved as given below for activities 
• Orientation of teams whenever ( HCWs, ASHAs, Tribal promoters etc)  whenever cases of Cutaneous Leishmaniasis. Visceral Leishmaniasis or PKDL are reported – Rs 10000/- 
• Documentation, Printing of forms etc involved in active case search  - Rs 5000/- 
• Incentive for surveillance @ Rs.5/house. Rs 5000
• Mobility support for the supervisory teams and Entomology teams – Rs 5000/- </t>
  </si>
  <si>
    <t xml:space="preserve">OOC - Rs. 2.00 Lakhs for DG&amp;CG: Vector Control,  environmental management &amp; fogging         machine-Repair &amp; Maintenance &amp;   Operational cost for larviciding including Spray wages.
Rs.  27.95 Lakhs for Wages for contingent workers for 90 days @ Rs. 675/-, implementation of Source reduction activities at urban areas
SREE -  ARL recurrent cost </t>
  </si>
  <si>
    <t xml:space="preserve">OOC - Rs. 2.00 Lakhs for DG&amp;CG: Vector Control,  environmental management &amp; fogging         machine-Repair &amp; Maintenance &amp;   Operational cost for larviciding including Spray wages.
Rs.  17.01 Lakhs for Wages for contingent workers for 90 days @ Rs. 675/-, implementation of Source reduction activities at urban areas
SREE -  ARL recurrent cost </t>
  </si>
  <si>
    <t xml:space="preserve">OOC - Rs. 2.25 Lakhs for DG&amp;CG: Vector Control,  environmental management &amp; fogging         machine-Repair &amp; Maintenance &amp;   Operational cost for larviciding including Spray wages.
Rs.  66.22 Lakhs for Wages for contingent workers for 90 days @ Rs. 675/-, implementation of Source reduction activities at urban areas
SREE -  ARL recurrent cost </t>
  </si>
  <si>
    <t>OOC -   Funds Morbidity management (@ Rs. 500/-)
SRRE -   Post MDA surveillance for screening of migratory population &amp; high risk areas.</t>
  </si>
  <si>
    <t xml:space="preserve">OOC - Rs. 2.00 Lakhs for DG&amp;CG: Vector Control,  environmental management &amp; fogging         machine-Repair &amp; Maintenance &amp;   Operational cost for larviciding including Spray wages.
Rs.  31.59 Lakhs for Wages for contingent workers for 90 days @ Rs. 675/-, implementation of Source reduction activities at urban areas &amp; Rs. 1.00 Lakhs for Operational cost for larviciding including Spray wages
SREE -  ARL recurrent cost </t>
  </si>
  <si>
    <t xml:space="preserve">OOC - Rs. 2.00 Lakhs for DG&amp;CG: Vector Control,  environmental management &amp; fogging         machine-Repair &amp; Maintenance &amp;   Operational cost for larviciding including Spray wages.
Rs.  31.59 Lakhs for Wages for contingent workers for 90 days @ Rs. 675/-, implementation of Source reduction activities at urban areas &amp; Rs. 0.90 Lakhs for  Operational cost for larviciding including Spray wages
SREE -  ARL recurrent cost </t>
  </si>
  <si>
    <t>OOC -   Funds for Hydrocelectomy (@ Rs. 750/-) &amp; Funds Morbidity management (@ Rs. 500/-)
SRRE -  Rs. 7.50 Lakhs - Verification and validation for stoppage of MDA in LF endemic districts - ICT (immuno-chromatographic test - Survey) - TAS planned in Palakkad - 5EUs, @ Rs. 1.50 L per EUs</t>
  </si>
  <si>
    <t xml:space="preserve">OOC - Rs. 2.25 Lakhs for DG&amp;CG: Vector Control,  environmental management &amp; fogging         machine-Repair &amp; Maintenance &amp;   Operational cost for larviciding including Spray wages.
Rs.  31.59 Lakhs for Wages for contingent workers for 90 days @ Rs. 675/-, implementation of Source reduction activities at urban areas
SREE -  ARL recurrent cost </t>
  </si>
  <si>
    <t>OOC -   Funds for Hydrocelectomy (@ Rs. 750/-) &amp; Funds Morbidity management (@ Rs. 500/-)
SRRE -   Rs. 15.00 Lakhs - Verification and validation for stoppage of MDA in LF endemic districts - ICT (immuno-chromatographic test - Survey) - TAS planned in Malappuram - 10 EUs, Rs. 1.50 L per EUs</t>
  </si>
  <si>
    <t xml:space="preserve">OOC - Rs. 2.25 Lakhs for DG&amp;CG: Vector Control,  environmental management &amp; fogging         machine-Repair &amp; Maintenance &amp;   Operational cost for larviciding including Spray wages &amp;  Rs.0.50 Lakhs for Operational cost for larviciding including Spray wages.
Rs.  66.22 Lakhs for Wages for contingent workers for 90 days @ Rs. 675/-, implementation of Source reduction activities at urban areas 
SREE -  ARL recurrent cost </t>
  </si>
  <si>
    <t xml:space="preserve">OOC - Rs. 2.00 Lakhs for DG&amp;CG: Vector Control,  environmental management &amp; fogging         machine-Repair &amp; Maintenance &amp;   Operational cost for larviciding including Spray wages.
Rs.  13.37 Lakhs for Wages for contingent workers for 90 days @ Rs. 675/-, implementation of Source reduction activities at urban areas
SREE -  ARL recurrent cost </t>
  </si>
  <si>
    <t>OOC -   Funds for  Morbidity management (@ Rs. 500/-)</t>
  </si>
  <si>
    <t xml:space="preserve">OOC - Rs. 2.00 Lakhs for DG&amp;CG: Vector Control,  environmental management &amp; fogging         machine-Repair &amp; Maintenance &amp;   Rs. 0.40 Lakhs for Operational cost for larviciding including Spray wages.
Rs.  30.38 Lakhs for Wages for contingent workers for 90 days @ Rs. 675/-, implementation of Source reduction activities at urban areas
SREE -  ARL recurrent cost </t>
  </si>
  <si>
    <t xml:space="preserve">OOC - Rs. 2.00 Lakhs for DG&amp;CG: Vector Control,  environmental management &amp; fogging         machine-Repair &amp; Maintenance &amp;   Operational cost for larviciding including Spray wages.
Rs.  27.33 Lakhs for Wages for contingent workers for 90 days @ Rs. 675/-, implementation of Source reduction activities at urban areas
SREE -  ARL recurrent cost </t>
  </si>
  <si>
    <t>OOC -  Funds Morbidity management (@ Rs. 500/-)</t>
  </si>
  <si>
    <t>Drugs - Procurment of drugs at local level - Tab. Chloroquine,     Injection Artisunate, Artimethrine,          
OOC - Maintenance of lab equipments including Microscopes</t>
  </si>
  <si>
    <t xml:space="preserve">OOC - Active case search shall be done in areas reporting Cutaneous Leishmaniasis or Visceral Leishmniasis. Initial syndromic screening shall be done by HCWs (health workers, ASHAs, and tribal promoters) along with testing with rk39 kits among suspected / probable cases Review meetings. 
An amount of Rs.25000/- is proposed at State level </t>
  </si>
  <si>
    <t xml:space="preserve">Drugs - Rs. 8.50 Lakhs for Procurement of Technical Malathion
OOC - Operational costs for malathion  fogging - 
Per case Rs.4500/- can be used in which wages for fogging machine operator (Skilled labor) Rs.730 and helper Rs.675. balance amount may be used for purchase of other commodities like diesel and petrol. </t>
  </si>
  <si>
    <t xml:space="preserve">Drugs - Drugs and Supplies: Total Rs. 116.28 Lakhs (including kind grant Rs. 72.48 L).
Budget for procurement done by States - Temephos 2115 litre @ Rs. 756.00/- per litre (Rs. 16.00 lakhs), Bti (AS) 1061 litre @ Rs. 1413.00/- per litre (Rs. 15.00 lakhs) and Pyrethrum 2% extract 1298 litre @ Rs. 986.00/- per litre (Rs. 12.80 lakhs). Total Rs. 43.80 Lakhs.
Diagnostics - Rs, 12.00 Lakshs - Approved of 200 ELISA based NSI kits @ Rs. 6000/- per kit. Total Rs. 12.00 Lakhs
OOC - Rs. 0.60 Lakhs - Maintenance of Fogging machine approved  </t>
  </si>
  <si>
    <t>Rs.61.52 revalidation</t>
  </si>
  <si>
    <t xml:space="preserve">73.1 – DBT – Rs. 3.5 Lakhs:- Treatment Supporter Honorarium (Rs.1000) - one-time payment on the update of the Outcome of Treatment for drug sensitive TB patients, will be release through Nikshay DBT Mode directly to the beneficiaries.
73.2 - Infrastructure - Civil - Rs 0.4 Lakhs - Minor civil works/ repairing &amp; maintenance required at DTC, TU &amp;DMC and X-ray facilities etc based on need basis and for minor civil works on need basis.
73.3 - Equipments – Rs 2.4 Lakhs - (DMC, X-ray and ECG etc for NTEP) &amp; Maintenance of /upgradation cost for laboratory equipments for DMC, TUs and office equipments , maintenance and upgrdation cost.
73.4 - Drugs - Rs. 4 Lakhs - Procurement of First line drugs, Local Procurement of first line Anti TB drugs and AIC Kits etc and, drugs transportation/logistics.
73.5 - Diagnostics (Consumables, PPP, Sample Transportation) - Rs. 12.5 Lakhs - Patient support and sample transportation charges for diagnosis, procurement of TLD badges, Lab consumables for X-rays. ECG and other routine activities related to DSTB testing at TUs, DMC level . 
73.8 - Others including operating costs (OOC) - Rs. 1.2 Lakhs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</si>
  <si>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DBT – Rs. 81 Lakhs - Nutrition support to TB patient Rs. 1000 per month till the treatment is completed. The payment to be release directly to the beneficiary bank account.</t>
  </si>
  <si>
    <t xml:space="preserve">75.1 – DBT – Rs. 2.9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2.7 Lakhs  - Cost of existing NGO/ PP support schemes and new NGO/ PP support schemes proposed as per NTEP Public Private Partnership Guidance, Private Hospital Consortiums/Coalition of Professional association/STEP centers etc .
</t>
  </si>
  <si>
    <t xml:space="preserve">76.1-DBT - Rs. 2.7L- Rs. 250/- as incentive per beneficiaries for supporting LTBI treatment.
76.5 - LTBI Diagnostics (Consumables, PPP, Sample Transportation) - Rs. 1.70 lakhs - Screening, referral linkages and follow-up under Latent TB Infection Management, Cost for screening of LTBI such as incentives, sample collection &amp; transport, etc activities pertaining to LTBI.
</t>
  </si>
  <si>
    <t xml:space="preserve">77.1 – DBT – Rs. 0.5 Lakhs:- Treatment Supporter Honorarium (Rs.5000), payment on the update of the Outcome of Treatment for drug resistant TB patients. will be release through Nikshay DBT Mode directly to the beneficiaries.
77.2 - Infrastructure - Civil – Rs.0.25 Lakhs - minor civil works/ repairing &amp; maintenance of Nodal DRTB centre, CBNAAT, TRUNAAT sites, IRL &amp; CDST labs on need basis.
77.3 - Equipments - Rs. 4.8 Lakhs - Procurement of equipment for District level (DRTB Centers, C&amp;DST Lab and Molecular Diagnostics), Maintenance/up gradation costs for Laboratory equipments for DR TB Centre, C&amp;DST Lab and Molecular Diagnostics Equipment.
77.4 - Drugs - Rs. 1.3 Lakhs - Procurement of Drugs, Local procurement of second line drugs on need basis etc. 
</t>
  </si>
  <si>
    <t xml:space="preserve">73.1 – DBT – Rs. 2.8 Lakhs:- Treatment Supporter Honorarium (Rs.1000) - one-time payment on the update of the Outcome of Treatment for drug sensitive TB patients, will be release through Nikshay DBT Mode directly to the beneficiaries.
73.2 - Infrastructure - Civil – Rs.0.4 Lakhs - Minor civil works/ repairing &amp; maintenance required at DTC, TU &amp;DMC and X-ray facilities etc based on need basis and for minor civil works on need basis.
73.3 - Equipments – Rs 1.9 Lakhs - (DMC, X-ray and ECG etc for NTEP) &amp; Maintenance of /upgradation cost for laboratory equipments for DMC, TUs and office equipments , maintenance and upgrdation cost.
73.4 - Drugs - Rs. 3.4 Lakhs - Procurement of First line drugs, Local Procurement of first line Anti TB drugs and AIC Kits etc and, drugs transportation/logistics.
73.5 - Diagnostics (Consumables, PPP, Sample Transportation) - Rs. 9.8 Lakhs - Patient support and sample transportation charges for diagnosis, procurement of TLD badges, Lab consumables for X-rays. ECG and other routine activities related to DSTB testing at TUs, DMC level . 
73.8 - Others including operating costs (OOC) - Rs. 1 Lakhs  For intensifying TB Elimination activity involving  sample collection, referral and also for  ensuring the documentation.
73.11 - SURVEILLANCE RIVIEW ASSESSMENT EVALUATION(SRAE) - Rs. 0.5 Lakhs  - Support for District level/TU/LSGD TB Forums (Treatment Support Groups) functioning including meeting cost, travel support to community members attending meeting etc.
</t>
  </si>
  <si>
    <t>74.1 – DBT – Rs. 70 Lakhs - Nutrition support to TB patient Rs. 1000 per month till the treatment is completed .The payment to be release directly to the beneficiary bank account</t>
  </si>
  <si>
    <t xml:space="preserve">75.1 – DBT – Rs. 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1.4 Lakhs  - Cost of existing NGO/ PP support schemes and new NGO/ PP support schemes proposed as per NTEP Public Private Partnership Guidance, Private Hospital Consortiums/Coalition of Professional association/STEP centers etc .
</t>
  </si>
  <si>
    <t xml:space="preserve">76.1-DBT - Rs. 1.9 L- Rs. 250/- as incentive per beneficiaries for supporting LTBI treatment.
76.5 - LTBI Diagnostics (Consumables, PPP, Sample Transportation) - Rs. 1.5 lakhs - Screening, referral linkages and follow-up under Latent TB Infection Management, Cost for screening of LTBI such as incentives, sample collection &amp; transport, etc activities pertaining to LTBI.
</t>
  </si>
  <si>
    <t xml:space="preserve">77.1 – DBT – Rs. 0.3 Lakhs:- Treatment Supporter Honorarium (Rs.5000), payment on the update of the Outcome of Treatment for drug resistant TB patients. will be release through Nikshay DBT Mode directly to the beneficiaries.
77.2 - Infrastructure - Civil - Rs 0.25Lakhs - minor civil works/ repairing &amp; maintenance of Nodal DRTB centre, CBNAAT, TRUNAAT sites, IRL &amp; CDST labs on need basis.
77.3 - Equipments - Rs. 4.1 Lakhs -  Procurement of equipment for District level (DRTB Centers, C&amp;DST Lab and Molecular Diagnostics), Maintenance/up gradation costs for Laboratory equipments for DR TB Centre, C&amp;DST Lab and Molecular Diagnostics Equipment.
77.4 - Drugs - Rs. 1.1 Lakhs - Procurement of Drugs, Local procurement of second line drugs on need basis etc. 
</t>
  </si>
  <si>
    <t xml:space="preserve">73.1 – DBT – Rs. 2.3 Lakhs:- Treatment Supporter Honorarium (Rs.1000) - one-time payment on the update of the Outcome of Treatment for drug sensitive TB patients, will be release through Nikshay DBT Mode directly to the beneficiaries.
73.2 - Infrastructure - Civil - Rs 0.4 Lakhs - Minor civil works/ repairing &amp; maintenance required at DTC, TU &amp;DMC and X-ray facilities etc based on need basis and for minor civil works on need basis.
73.3 - Equipments – Rs 1.5 Lakhs - (DMC, X-ray and ECG etc for NTEP) &amp; Maintenance of /upgradation cost for laboratory equipments for DMC, TUs and office equipments , maintenance and upgrdation cost.
73.4 - Drugs - Rs. 2.8 Lakhs - Procurement of First line drugs, Local Procurement of first line Anti TB drugs and AIC Kits etc and, drugs transportation/logistics.
73.5 - Diagnostics (Consumables, PPP, Sample Transportation) - Rs. 8.1 Lakhs - Patient support and sample transportation charges for diagnosis, procurement of TLD badges, Lab consumables for X-rays. ECG and other routine activities related to DSTB testing at TUs, DMC level . 
73.8 - Others including operating costs (OOC) - Rs. 0.8 Lakhs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</si>
  <si>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61 Lakhs - Nutrition support to TB patient Rs. 1000 per month till the treatment is completed .The payment to be release directly to the beneficiary bank account</t>
  </si>
  <si>
    <t xml:space="preserve">75.1 – DBT – Rs. 1.5Lakhs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1.1 Lakhs  - Cost of existing NGO/ PP support schemes and new NGO/ PP support schemes proposed as per NTEP Public Private Partnership Guidance, Private Hospital Consortiums/Coalition of Professional association/STEP centers etc .
</t>
  </si>
  <si>
    <t xml:space="preserve">76.1-DBT - Rs. 1.5 L- Rs. 250/- as incentive per beneficiaries for supporting LTBI treatment.
76.5 - LTBI Diagnostics (Consumables, PPP, Sample Transportation) - Rs. 1.2 lakhs - Screening, referral linkages and follow-up under Latent TB Infection Management, Cost for screening of LTBI such as incentives, sample collection &amp; transport, etc activities pertaining to LTBI.
</t>
  </si>
  <si>
    <t xml:space="preserve">77.1 – DBT – Rs. 0.2 Lakhs:- Treatment Supporter Honorarium (Rs.5000), payment on the update of the Outcome of Treatment for drug resistant TB patients. will be release through Nikshay DBT Mode directly to the beneficiaries.
77.2 - Infrastructure - Civil - Rs 0.25Lakhs - minor civil works/ repairing &amp; maintenance of Nodal DRTB centre, CBNAAT, TRUNAAT sites, IRL &amp; CDST labs on need basis.
77.3 - Equipments - Rs. 3.6 Lakhs -  Procurement of equipment for District level (DRTB Centers, C&amp;DST Lab and Molecular Diagnostics), Maintenance/up gradation costs for Laboratory equipments for DR TB Centre, C&amp;DST Lab and Molecular Diagnostics Equipment.
77.4 - Drugs - Rs. 0.9 Lakhs - Procurement of Drugs, Local procurement of second line drugs on need basis etc
</t>
  </si>
  <si>
    <t xml:space="preserve">73.1 – DBT – Rs. 2.8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1.8 Lakhs - (DMC, X-ray and ECG etc for NTEP) &amp; Maintenance of /upgradation cost for laboratory equipments for DMC, TUs and office equipments , maintenance and upgrdation cost.
73.4 - Drugs - Rs. 3.1Lakhs - Procurement of First line drugs, Local Procurement of first line Anti TB drugs and AIC Kits etc and, drugs transportation/logistics.
73.5 - Diagnostics (Consumables, PPP, Sample Transportation) - Rs. 9.8 Lakhs - Patient support and sample transportation charges for diagnosis, procurement of TLD badges, Lab consumables for X-rays. ECG and other routine activities related to DSTB testing at TUs, DMC level . 
73.8 - Others including operating costs (OOC) - Rs. 1Lakhs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</si>
  <si>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67 Lakhs - Nutrition support to TB patient Rs. 1000 per month till the treatment is completed .The payment to be release directly to the beneficiary bank account</t>
  </si>
  <si>
    <t xml:space="preserve">75.1 – DBT – Rs. 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1.3 Lakhs  - Cost of existing NGO/ PP support schemes and new NGO/ PP support schemes proposed as per NTEP Public Private Partnership Guidance, Private Hospital Consortiums/Coalition of Professional association/STEP centers etc .
</t>
  </si>
  <si>
    <t xml:space="preserve">76.1-DBT - Rs. 1.9L- Rs. 250/- as incentive per beneficiaries for supporting LTBI treatment.
76.5 - LTBI Diagnostics (Consumables, PPP, Sample Transportation) - Rs. 1.3 lakhs - Screening, referral linkages and follow-up under Latent TB Infection Management, Cost for screening of LTBI such as incentives, sample collection &amp; transport, etc activities pertaining to LTBI.
</t>
  </si>
  <si>
    <t xml:space="preserve">77.1 – DBT – Rs. 0.3 Lakhs:- Treatment Supporter Honorarium (Rs.5000), payment on the update of the Outcome of Treatment for drug resistant TB patients. will be release through Nikshay DBT Mode directly to the beneficiaries.
77.2 - Infrastructure - Civil - Rs 0.25Lakhs - minor civil works/ repairing &amp; maintenance of Nodal DRTB centre, CBNAAT, TRUNAAT sites, IRL &amp; CDST labs on need basis.
77.3 - Equipments - Rs. 3.8 Lakhs -  Procurement of equipment for District level (DRTB Centers, C&amp;DST Lab and Molecular Diagnostics), Maintenance/up gradation costs for Laboratory equipments for DR TB Centre, C&amp;DST Lab and Molecular Diagnostics Equipment.
77.4 - Drugs - Rs. 1 Lakhs - Procurement of Drugs, Local procurement of second line   drugs on need basis etc. 
</t>
  </si>
  <si>
    <t xml:space="preserve">73 - Drug Sensitive TB (DSTB) – Rs. 20.1L
73.1 – DBT – Rs. 2.7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1.9 Lakhs - (DMC, X-ray and ECG etc for NTEP) &amp; Maintenance of /upgradation cost for laboratory equipments for DMC, TUs and office equipments , maintenance and upgrdation cost.
73.4 - Drugs - Rs. 3.7Lakhs - Procurement of First line drugs, Local Procurement of first line Anti TB drugs and AIC Kits etc and, drugs transportation/logistics.
73.5 - Diagnostics (Consumables, PPP, Sample Transportation) - Rs. 9.9 Lakhs - Patient support and sample transportation charges for diagnosis, procurement of TLD badges, Lab consumables for X-rays. ECG and other routine activities related to DSTB testing at TUs, DMC level . 
73.8 - Others including operating costs (OOC) - Rs. 1Lakhs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</si>
  <si>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 xml:space="preserve">75.1 – DBT – Rs. 2.2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1.15 Lakhs  - Cost of existing NGO/ PP support schemes and new NGO/ PP support schemes proposed as per NTEP Public Private Partnership Guidance, Private Hospital Consortiums/Coalition of Professional association/STEP centers etc 
</t>
  </si>
  <si>
    <t xml:space="preserve">76.1-DBT - Rs. 1.9L- Rs. 250/- as incentive per beneficiaries for supporting LTBI treatment.
76.5 - LTBI Diagnostics (Consumables, PPP, Sample Transportation) - Rs. 1.6 lakhs - Screening, referral linkages and follow-up under Latent TB Infection Management, Cost for screening of LTBI such as incentives, sample collection &amp; transport, etc activities pertaining to LTBI.
</t>
  </si>
  <si>
    <t xml:space="preserve">77.1 – DBT – Rs. 0.4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4.1 Lakhs Procurement of equipment for District level (DRTB Centers, C&amp;DST Lab and Molecular Diagnostics), Maintenance/up gradation costs for Laboratory equipments for DR TB Centre, C&amp;DST Lab and Molecular Diagnostics Equipment.
77.4 - Drugs - Rs. 1.1 Lakhs - Procurement of Drugs, Local procurement of second line drugs on need basis etc. 
</t>
  </si>
  <si>
    <t xml:space="preserve">73.1 – DBT – Rs. 2.2 Lakhs:- Treatment Supporter Honorarium (Rs.1000) - one-time payment on the update of the Outcome of Treatment for drug sensitive TB patients, will be release through Nikshay DBT Mode directly to the beneficiaries.
73.2 - Infrastructure - Civil - Rs 0.40Lakhs - Minor civil works/ repairing &amp; maintenance required at DTC, TU &amp;DMC and X-ray facilities etc based on need basis and for minor civil works on need basis.
73.3 - Equipments – Rs 1.4 Lakhs - (DMC, X-ray and ECG etc for NTEP) &amp; Maintenance of /upgradation cost for laboratory equipments for DMC, TUs and office equipments , maintenance and upgrdation cost.
73.4 - Drugs - Rs. 2.8Lakhs - Procurement of First line drugs, Local Procurement of first line Anti TB drugs and AIC Kits etc and, drugs transportation/logistics.
73.5 - Diagnostics (Consumables, PPP, Sample Transportation) - Rs. 8.4 Lakhs - Patient support and sample transportation charges for diagnosis, procurement of TLD badges, Lab consumables for X-rays. ECG and other routine activities related to DSTB testing at TUs, DMC level . 
73.8 - Others including operating costs (OOC) - Rs. 0.8Lakhs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</si>
  <si>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58 Lakhs - Nutrition support to TB patient Rs. 1000 per month till the treatment is completed .The payment to be release directly to the beneficiary bank account</t>
  </si>
  <si>
    <t xml:space="preserve">75.1 – DBT – Rs. 1.2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2.2 Lakhs  - Cost of existing NGO/ PP support schemes and new NGO/ PP support schemes proposed as per NTEP Public Private Partnership Guidance, Private Hospital Consortiums/Coalition of Professional association/STEP centers etc .
</t>
  </si>
  <si>
    <t xml:space="preserve">76.1-DBT - Rs. 1.5L- Rs. 250/- as incentive per beneficiaries for supporting LTBI treatment.
76.5 - LTBI Diagnostics (Consumables, PPP, Sample Transportation) - Rs. 1.2Lakhs - Screening, referral linkages and follow-up under Latent TB Infection Management, Cost for screening of LTBI such as incentives, sample collection &amp; transport, etc activities pertaining to LTBI.
</t>
  </si>
  <si>
    <t xml:space="preserve">77.1 – DBT – Rs. 0.3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3.5 Lakhs -  Procurement of equipment for District level (DRTB Centers, C&amp;DST Lab and Molecular Diagnostics), Maintenance/up gradation costs for Laboratory equipments for DR TB Centre, C&amp;DST Lab and Molecular Diagnostics Equipment.
77.4 - Drugs - Rs. 0.9 Lakhs - Procurement of Drugs, Local procurement of second line drugs on need basis etc. 
</t>
  </si>
  <si>
    <t xml:space="preserve">73.1 – DBT – Rs. 3.5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2.3 Lakhs - (DMC, X-ray and ECG etc for NTEP) &amp; Maintenance of /upgradation cost for laboratory equipments for DMC, TUs and office equipments , maintenance and upgrdation cost.
73.4 - Drugs - Rs. 3.8Lakhs - Procurement of First line drugs, Local Procurement of first line Anti TB drugs and AIC Kits etc and, drugs transportation/logistics.
73.5 - Diagnostics (Consumables, PPP, Sample Transportation) - Rs. 12 Lakhs - Patient support and sample transportation charges for diagnosis, procurement of TLD badges, Lab consumables for X-rays. ECG and other routine activities related to DSTB testing at TUs, DMC level. 
73.8 - Others including operating costs (OOC) - Rs. 1.2Lakhs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</si>
  <si>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79 Lakhs - Nutrition support to TB patient Rs. 1000 per month till the treatment is completed .The payment to be release directly to the beneficiary bank account</t>
  </si>
  <si>
    <t xml:space="preserve">75.1 – DBT – Rs. 2.8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2.6 Lakhs  - Cost of existing NGO/ PP support schemes and new NGO/ PP support schemes proposed as per NTEP Public Private Partnership Guidance, Private Hospital Consortiums/Coalition of Professional association/STEP centers etc .
</t>
  </si>
  <si>
    <t xml:space="preserve">76.1-DBT - Rs. 2.5L- Rs. 250/- as incentive per beneficiaries for supporting LTBI treatment.
76.5 - LTBI Diagnostics (Consumables, PPP, Sample Transportation) - Rs. 1.8Lakhs - Screening, referral linkages and follow-up under Latent TB Infection Management, Cost for screening of LTBI such as incentives, sample collection &amp; transport, etc activities pertaining to LTBI.
</t>
  </si>
  <si>
    <t xml:space="preserve">77.1 – DBT – Rs. 0.6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4.7 Lakhs -  Procurement of equipment for District level (DRTB Centers, C&amp;DST Lab and Molecular Diagnostics), Maintenance/up gradation costs for Laboratory equipments for DR TB Centre, C&amp;DST Lab and Molecular Diagnostics Equipment.
  77.4 - Drugs - Rs. 1.3 Lakhs - Procurement of Drugs, Local procurement of second line drugs on need basis etc. 
</t>
  </si>
  <si>
    <t xml:space="preserve">73.1 – DBT – Rs. 2.7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1.8 Lakhs - (DMC, X-ray and ECG etc for NTEP) &amp; Maintenance of /upgradation cost for laboratory equipments for DMC, TUs and office equipments , maintenance and upgrdation cost.
73.4 - Drugs - Rs. 3.2Lakhs - Procurement of First line drugs, Local Procurement of first line Anti TB drugs and AIC Kits etc and, drugs transportation/logistics.
73.5 - Diagnostics (Consumables, PPP, Sample Transportation) - Rs. 11 Lakhs - Patient support and sample transportation charges for diagnosis, procurement of TLD badges, Lab consumables for X-rays. ECG and other routine activities related to DSTB testing at TUs, DMC level. 
73.8 - Others including operating costs (OOC) - Rs. 1.1Lakhs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</si>
  <si>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74 Lakhs - Nutrition support to TB patient Rs. 1000 per month till the treatment is completed. The payment to be release directly to the beneficiary bank account</t>
  </si>
  <si>
    <t xml:space="preserve">75.1 – DBT – Rs. 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2.1 Lakhs  - Cost of existing NGO/ PP support schemes and new NGO/ PP support schemes proposed as per NTEP Public Private Partnership Guidance, Private Hospital Consortiums/Coalition of Professional association/STEP centers etc .
</t>
  </si>
  <si>
    <t xml:space="preserve">76.1-DBT - Rs. 2.3L- Rs. 250/- as incentive per beneficiaries for supporting LTBI treatment.
76.5 - LTBI Diagnostics (Consumables, PPP, Sample Transportation) - Rs. 1.5 Lakhs - Screening, referral linkages and follow-up under Latent TB Infection Management, Cost for screening of LTBI such as incentives, sample collection &amp; transport, etc activities pertaining to LTBI.
</t>
  </si>
  <si>
    <t xml:space="preserve">77.1 – DBT – Rs. 0.5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4.1 Lakhs -  Procurement of equipment for District level (DRTB Centers, C&amp;DST Lab and Molecular Diagnostics), Maintenance/up gradation costs for Laboratory equipments for DR TB Centre, C&amp;DST Lab and Molecular Diagnostics Equipment.
77.4 - Drugs - Rs. 1 Lakhs - Procurement of Drugs, Local procurement of second line drugs on need basis etc. 
</t>
  </si>
  <si>
    <t xml:space="preserve">73.1 – DBT – Rs. 2.4 Lakhs:- Treatment Supporter Honorarium (Rs.1000) - one-time payment on the update of the Outcome of Treatment for drug sensitive TB patients, will be release through Nikshay DBT Mode directly to the beneficiaries.
73.2 - Infrastructure - Civil - Rs 0.4Lakhs - Minor civil works/ repairing &amp; maintenance required at DTC, TU &amp;DMC and X-ray facilities etc based on need basis and for minor civil works on need basis.
73.3 - Equipments – Rs 1.3 Lakhs - (DMC, X-ray and ECG etc for NTEP) &amp; Maintenance of /upgradation cost for laboratory equipments for DMC, TUs and office equipments , maintenance and upgrdation cost.
73.4 - Drugs - Rs. 2.8Lakhs - Procurement of First line drugs, Local Procurement of first line Anti TB drugs and AIC Kits etc and, drugs transportation/logistics.
73.5 - Diagnostics (Consumables, PPP, Sample Transportation) - Rs. 10 Lakhs - Patient support and sample transportation charges for diagnosis, procurement of TLD badges, Lab consumables for X-rays. ECG and other routine activities related to DSTB testing at TUs, DMC level. 
73.8 - Others including operating costs (OOC) - Rs. 1.1Lakhs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</si>
  <si>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72 Lakhs - Nutrition support to TB patient Rs. 1000 per month till the treatment is completed .The payment to be release directly to the beneficiary bank account</t>
  </si>
  <si>
    <t xml:space="preserve">75.1 – DBT – Rs. 1.9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 Lakhs  - Cost of existing NGO/ PP support schemes and new NGO/ PP support schemes proposed as per NTEP Public Private Partnership Guidance, Private Hospital Consortiums/Coalition of Professional association/STEP centers etc .
</t>
  </si>
  <si>
    <t xml:space="preserve">76.1-DBT - Rs. 2.1L- Rs. 250/- as incentive per beneficiaries for supporting LTBI treatment.
76.5 - LTBI Diagnostics (Consumables, PPP, Sample Transportation) - Rs. 1.4 Lakhs - Screening, referral linkages and follow-up under Latent TB Infection Management, Cost for screening of LTBI such as incentives, sample collection &amp; transport, etc activities pertaining to LTBI.
</t>
  </si>
  <si>
    <t xml:space="preserve">77.1 – DBT – Rs. 0.5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3.97 Lakhs -  Procurement of equipment for District level (DRTB Centers, C&amp;DST Lab and Molecular Diagnostics), Maintenance/up gradation costs for Laboratory equipments for DR TB Centre, C&amp;DST Lab and Molecular Diagnostics Equipment.
77.4 - Drugs - Rs. 1 Lakhs - Procurement of Drugs, Local procurement of second line drugs on need basis etc. 
</t>
  </si>
  <si>
    <t xml:space="preserve">73.1 – DBT – Rs. 3.2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1.8 Lakhs - (DMC, X-ray and ECG etc for NTEP) &amp; Maintenance of /upgradation cost for laboratory equipments for DMC, TUs and office equipments , maintenance and upgrdation cost.
73.4 - Drugs - Rs. 3.1Lakhs - Procurement of First line drugs, Local Procurement of first line Anti TB drugs and AIC Kits etc and, drugs transportation/logistics.
73.5 - Diagnostics (Consumables, PPP, Sample Transportation) - Rs. 12.5 Lakhs - Patient support and sample transportation charges for diagnosis, procurement of TLD badges, Lab consumables for X-rays. ECG and other routine activities related to DSTB testing at TUs, DMC level. 
73.8 - Others including operating costs (OOC) - Rs. 1.3Lakhs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</si>
  <si>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78 Lakhs – Nutrition support to TB patient Rs. 1000 per month till the treatment is completed .The payment to be release directly to the beneficiary bank account</t>
  </si>
  <si>
    <t xml:space="preserve">75.1 – DBT – Rs. 2.7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2.4 Lakhs  - Cost of existing NGO/ PP support schemes and new NGO/ PP support schemes proposed as per NTEP Public Private Partnership Guidance, Private Hospital Consortiums/Coalition of Professional association/STEP centers etc .
</t>
  </si>
  <si>
    <t xml:space="preserve">76.1-DBT - Rs. 2.6L- Rs. 250/- as incentive per beneficiaries for supporting LTBI treatment.
76.5 - LTBI Diagnostics (Consumables, PPP, Sample Transportation) - Rs. 2 Lakhs - Screening, referral linkages and follow-up under Latent TB Infection Management, Cost for screening of LTBI such as incentives, sample collection &amp; transport, etc activities pertaining to LTBI.
</t>
  </si>
  <si>
    <t xml:space="preserve">77.1 – DBT – Rs. 0.6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4.7 Lakhs -  Procurement of equipment for District level (DRTB Centers, C&amp;DST Lab and Molecular Diagnostics), Maintenance/up gradation costs for Laboratory equipments for DR TB Centre, C&amp;DST Lab and Molecular Diagnostics Equipment.
77.4 - Drugs - Rs. 1.3 Lakhs - Procurement of Drugs, Local procurement of second line drugs on need basis etc. 
</t>
  </si>
  <si>
    <t xml:space="preserve">73.1 – DBT – Rs. 3.1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1.8 Lakhs - (DMC, X-ray and ECG etc for NTEP) &amp; Maintenance of /upgradation cost for laboratory equipments for DMC, TUs and office equipments , maintenance and upgrdation cost.
73.4 - Drugs - Rs. 3.1Lakhs - Procurement of First line drugs, Local Procurement of first line Anti TB drugs and AIC Kits etc and, drugs transportation/logistics.
73.5 - Diagnostics (Consumables, PPP, Sample Transportation) - Rs. 11.5 Lakhs - Patient support and sample transportation charges for diagnosis, procurement of TLD badges, Lab consumables for X-rays. ECG and other routine activities related to DSTB testing at TUs, DMC level. 
73.8 - Others including operating costs (OOC) - Rs. 1.2Lakhs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</si>
  <si>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76 Lakhs - Nutrition support to TB patient Rs. 1000 per month till the treatment is completed .The payment to be release directly to the beneficiary bank account</t>
  </si>
  <si>
    <t xml:space="preserve">Lakhs.
75.1 – DBT – Rs. 2.3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2.7 Lakhs  - Cost of existing NGO/ PP support schemes and new NGO/ PP support schemes proposed as per NTEP Public Private Partnership Guidance, Private Hospital Consortiums/Coalition of Professional association/STEP centers etc .
</t>
  </si>
  <si>
    <t xml:space="preserve">76.1-DBT - Rs. 2.2L- Rs. 250/- as incentive per beneficiaries for supporting LTBI treatment.
76.5 - LTBI Diagnostics (Consumables, PPP, Sample Transportation) - Rs. 1.8 Lakhs - Screening, referral linkages and follow-up under Latent TB Infection Management, Cost for screening of LTBI such as incentives, sample collection &amp; transport, etc activities pertaining to LTBI.
</t>
  </si>
  <si>
    <t xml:space="preserve">77.1 – DBT – Rs. 0.6 Lakhs:- Treatment Supporter Honorarium (Rs.5000), payment on the update of the Outcome of Treatment for drug resistant TB patients. will be release through Nikshay DBT Mode directly to the beneficiaries.
77.2 - Infrastructure - Civil – Rs.0.25 Lakhs - minor civil works/ repairing &amp; maintenance of Nodal DRTB centre, CBNAAT, TRUNAAT sites, IRL &amp; CDST labs on need basis.
77.3 - Equipments - Rs. 8 Lakhs Procurement of equipment for District level (DRTB Centers, C&amp;DST Lab and Molecular Diagnostics), Maintenance/up gradation costs for Laboratory equipments for DR TB Centre, C&amp;DST Lab and Molecular Diagnostics Equipment.
77.4 - Drugs - Rs. 1.2 Lakhs - Procurement of Drugs, Local procurement of second line drugs on need basis etc. 
77.5 - Diagnostics (Consumables, PPP, Sample Transportation) - Rs. 45.5 Lakhs – For Lab consumables and reagents for the use in the C&amp;DST Lab, Kozhikode.
</t>
  </si>
  <si>
    <t xml:space="preserve">73.1 – DBT – Rs. 2.8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1.4 Lakhs - (DMC, X-ray and ECG etc for NTEP) &amp; Maintenance of /upgradation cost for laboratory equipments for DMC, TUs and office equipments , maintenance and upgrdation cost.
73.4 - Drugs - Rs. 2.8Lakhs - Procurement of First line drugs, Local Procurement of first line Anti TB drugs and AIC Kits etc and, drugs transportation/logistics.
73.5 - Diagnostics (Consumables, PPP, Sample Transportation) - Rs. 9 Lakhs - Patient support and sample transportation charges for diagnosis, procurement of TLD badges, Lab consumables for X-rays. ECG and other routine activities related to DSTB testing at TUs, DMC level. 
73.8 - Others including operating costs (OOC) - Rs. 1 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</si>
  <si>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56.6 Lakhs - Nutrition support to TB patient Rs. 1000 per month till the treatment is completed .The payment to be release directly to the beneficiary bank account</t>
  </si>
  <si>
    <t xml:space="preserve">75.1 – DBT – Rs. 1.2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1.5 Lakhs  - Cost of existing NGO/ PP support schemes and new NGO/ PP support schemes proposed as per NTEP Public Private Partnership Guidance, Private Hospital Consortiums/Coalition of Professional association/STEP centers etc .
</t>
  </si>
  <si>
    <t xml:space="preserve">76.1-DBT - Rs. 1.4L- Rs. 250/- as incentive per beneficiaries for supporting LTBI treatment.
76.5 - LTBI Diagnostics (Consumables, PPP, Sample Transportation) - Rs. 1.1 Lakhs - Screening, referral linkages and follow-up under Latent TB Infection Management, Cost for screening of LTBI such as incentives, sample collection &amp; transport, etc activities pertaining to LTBI.
</t>
  </si>
  <si>
    <t xml:space="preserve">77.1 – DBT – Rs. 0.3 Lakhs:- Treatment Supporter Honorarium (Rs.5000), payment on the update of the Outcome of Treatment for drug resistant TB patients. will be release through Nikshay DBT Mode directly to the beneficiaries.
77.2 - Infrastructure - Civil - Rs 0.25Lakhs - minor civil works/ repairing &amp; maintenance of Nodal DRTB centre, CBNAAT, TRUNAAT sites, IRL &amp; CDST labs on need basis.
77.3 - Equipments - Rs. 3.3 Lakhs Procurement of equipment for District level (DRTB Centers, C&amp;DST Lab and Molecular Diagnostics), Maintenance/up gradation costs for Laboratory equipments for DR TB Centre, C&amp;DST Lab and Molecular Diagnostics Equipment.
77.4 - Drugs - Rs. 0.9Lakhs - Procurement of Drugs, Local procurement of second line drugs on need basis etc
</t>
  </si>
  <si>
    <t xml:space="preserve">73.1 – DBT – Rs. 3.4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1.8 Lakhs - (DMC, X-ray and ECG etc for NTEP) &amp; Maintenance of /upgradation cost for laboratory equipments for DMC, TUs and office equipments , maintenance and upgrdation cost.
73.4 - Drugs - Rs. 3.1Lakhs - Procurement of First line drugs, Local Procurement of first line Anti TB drugs and AIC Kits etc and, drugs transportation/logistics.
73.5 - Diagnostics (Consumables, PPP, Sample Transportation) - Rs. 11 Lakhs - Patient support and sample transportation charges for diagnosis, procurement of TLD badges, Lab consumables for X-rays. ECG and other routine activities related to DSTB testing at TUs, DMC level. 
73.8 - Others including operating costs (OOC) - Rs. 1.2 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</si>
  <si>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 xml:space="preserve">75.1 – DBT – Rs. 2.3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2.6 Lakhs  - Cost of existing NGO/ PP support schemes and new NGO/ PP support schemes proposed as per NTEP Public Private Partnership Guidance, Private Hospital Consortiums/Coalition of Professional association/STEP centers etc .
</t>
  </si>
  <si>
    <t xml:space="preserve">76.1-DBT - Rs. 2.3L- Rs. 250/- as incentive per beneficiaries for supporting LTBI treatment.
76.5 - LTBI Diagnostics (Consumables, PPP, Sample Transportation) - Rs. 1.8 Lakhs - Screening, referral linkages and follow-up under Latent TB Infection Management, Cost for screening of LTBI such as incentives, sample collection &amp; transport, etc activities pertaining to LTBI.
</t>
  </si>
  <si>
    <t xml:space="preserve">77.1 – DBT – Rs. 0.5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4.6 Lakhs -  Procurement of equipment for District level (DRTB Centers, C&amp;DST Lab and Molecular Diagnostics), Maintenance/up gradation costs for Laboratory equipments for DR TB Centre, C&amp;DST Lab and Molecular Diagnostics Equipment.
77.4 - Drugs - Rs. 1.2Lakhs - Procurement of Drugs, Local procurement of second line drugs on need basis etc. 
</t>
  </si>
  <si>
    <t xml:space="preserve">73.1 – DBT – Rs. 2.1 Lakhs:- Treatment Supporter Honorarium (Rs.1000) - one-time payment on the update of the Outcome of Treatment for drug sensitive TB patients, will be release through Nikshay DBT Mode directly to the beneficiaries.
73.2 - Infrastructure - Civil – Rs.0.4Lakhs - Minor civil works/ repairing &amp; maintenance required at DTC, TU &amp;DMC and X-ray facilities etc based on need basis and for minor civil works on need basis.
73.3 - Equipments – Rs 1.2 Lakhs - (DMC, X-ray and ECG etc for NTEP) &amp; Maintenance of /upgradation cost for laboratory equipments for DMC, TUs and office equipments , maintenance and upgrdation cost.
73.4 - Drugs - Rs. 2.4Lakhs - Procurement of First line drugs, Local Procurement of first line Anti TB drugs and AIC Kits etc and, drugs transportation/logistics.
73.5 - Diagnostics (Consumables, PPP, Sample Transportation) - Rs. 9.5 Lakhs - Patient support and sample transportation charges for diagnosis, procurement of TLD badges, Lab consumables for X-rays. ECG and other routine activities related to DSTB testing at TUs, DMC level. 
73.8 - Others including operating costs (OOC) - Rs. 0.8 Lakhs  - For intensifying TB Elimination activity involving  sample collection, referral and also for  ensuring the documentation.
73.11 - SURVEILLANCE RIVIEW ASSESSMENT EVALUATION (SRAE) - Rs. 0.5 Lakhs - Support for District level/TU/LSGD TB Forums (Treatment Support Groups) functioning including meeting cost, travel support to community members attending meeting etc.
</t>
  </si>
  <si>
    <t>74.1 – DBT – Rs. 58 Lakhs – Nutrition support to TB patient Rs. 1000 per month till the treatment is completed .The payment to be release directly to the beneficiary bank account</t>
  </si>
  <si>
    <t xml:space="preserve">75.1 – DBT – Rs. 1.2 Lakhs - Private Provider Incentives- NTEP DBT Scheme @Rs. 500/- per notification and Rs. 500/- when treatment outcome declared &amp; Incentives for first informant (20% of Public notified case will be expected to be eligible for first informant incentive).
75.8 - Others including operating costs (OOC) - Rs. 1.2 Lakhs  - Cost of existing NGO/ PP support schemes and new NGO/ PP support schemes proposed as per NTEP Public Private Partnership Guidance, Private Hospital Consortiums/Coalition of Professional association/STEP centers etc .
</t>
  </si>
  <si>
    <t xml:space="preserve">76.1-DBT - Rs. 1.5L- Rs. 250/- as incentive per beneficiaries for supporting LTBI treatment.
76.5 - LTBI Diagnostics (Consumables, PPP, Sample Transportation) - Rs. 1.1 Lakhs - Screening, referral linkages and follow-up under Latent TB Infection Management, Cost for screening of LTBI such as incentives, sample collection &amp; transport, etc activities pertaining to LTBI.
</t>
  </si>
  <si>
    <t xml:space="preserve">77.1 – DBT – Rs. 0.3 Lakhs:- Treatment Supporter Honorarium (Rs.5000), payment on the update of the Outcome of Treatment for drug resistant TB patients. will be release through Nikshay DBT Mode directly to the beneficiaries.
77.2 - Infrastructure - Civil – Rs.0.25Lakhs - minor civil works/ repairing &amp; maintenance of Nodal DRTB centre, CBNAAT, TRUNAAT sites, IRL &amp; CDST labs on need basis.
77.3 - Equipments - Rs. 3.6 Lakhs -  Procurement of equipment for District level (DRTB Centers, C&amp;DST Lab and Molecular Diagnostics), Maintenance/up gradation costs for Laboratory equipments for DR TB Centre, C&amp;DST Lab and Molecular Diagnostics Equipment.
77.4 - Drugs - Rs. 0.8Lakhs - Procurement of Drugs, Local procurement of second line drugs on need basis etc
</t>
  </si>
  <si>
    <t xml:space="preserve">73.2 - Infrastructure - Civil – Rs.24.4Lakhs - Minor civil works/ repairing &amp; maintenance based on need basis and for minor civil works, STC,SDS, STDC. 
73.3 - Equipments – Rs 15.7 Lakhs - For Procurement/Service/repairs/replacement of equipment at State level STC – CCTV, Fire Extinguishers, SDS STDC. Procurement of office equipment, Air Conditioners etc and furniture for State levels STC, SDS (Office Equipments), Maintenance / up gradation costs for office equipment’s, Air Conditioners AMC (Office Equipment)
73.4 - Drugs - Rs. 156 Lakhs – 
1.  Rs.12.00 Lakhs Procurement of First line drugs, Local Procurement of first line Anti TB drugs and drugs transportation.
2. Rs. 144.00 lakhs for Energy Dense Nutritional Supplement (EDNS) powder for around 6000 beneficiaries (6000 nosxRs. 2,400)
73.8 - Others including operating costs (OOC) - Rs. 2.5 Lakhs  - For intensifying TB Elimination activity involving  sample collection, referral and also for  ensuring the documentation.
73.11 - SURVEILLANCE RIVIEW ASSESSMENT EVALUATION (SRAE) - Rs. 33.5 Lakhs - Rs. 13.50 lakhs - TA/DA cost of all officer/ staff working in NTEP, Cost of internal evaluation etc.  Cost of Zonal Task Force, State Coalition meeting, State Task meetings.,-Rs. 20.00 lakhs Research &amp; Studies /PG Thesis
</t>
  </si>
  <si>
    <t xml:space="preserve">75.5 – Diagnostics Services – 137.25 Lakhs
Estimated @ Rs. 10/- per-x-ray 75 x-rays (per day/per machine) of 61 Nos of HH X-ray Machines allotted to State for 25 days per month for 12 months - Reimbursement to Hospital Management Committee/NGO/other agencies for hiring service of Radiographer.
75.8 - Others including operating costs (OOC)- Rs. 2.5 Lakhs- Private Hospital Consortiums/Coalition of Professional association/STEP centers etc.
</t>
  </si>
  <si>
    <t xml:space="preserve">76.4-Drugs - LTBI Drugs – Rs. 25.00 lakhs - Local procurement of approved LTBI drugs.
76.5 - LTBI Diagnostics (Consumables, PPP, Sample Transportation) - Rs. 74 Lakhs – Procurement of Lab Materials and consumables for IGRA test/CY-TB etc &amp; transportation/logistics of CY-TB through Cold Chain.
</t>
  </si>
  <si>
    <t xml:space="preserve">77.2 - Infrastructure - Civil – Rs.11.5Lakhs - IRL Trivandrum, for minor civil works and in Nodal DR TB Centre, Trivandrum.
77.3 - Equipments - Rs. 200.5 Lakhs -  Rs. 102.80Lakhs Procurement of lab and office equipment for State levels - IRL Tvm - 100.80 lakhs (separate list of equipment attached), 2.00 lakhs for DR TB Centre, Tvm, Rs. 97.70 Lakhs – (Rs. 13.00 Lakhs for Maintenance/AMC/CAMC/Calibration / up gradation costs for Laboratory equipment’s for DR TB Centre, IRL  (IRL Tvm - 12.00 lakhs, Nodal DR TB Centre, Tvm - Rs. 1.00 lakhs), Machines,  Rs. 84.70 Lakhs CMC/CAMC for CBNAAT and Truennat including State procured and CSR funds, Replacement of faulty modules), 
77.4 - Drugs - Rs. 20Lakhs - Procurement of DRTB &amp; NTM drugs, local Procurement of second line drugs., and rarely used drugs as suggested by State Difficult to Treat Clinic and Nodal DR TB Centers on need basis charges etc.
77.5 - Diagnostics (Consumables, PPP, Sample Transportation) - Rs. 1460Lakhs – 
Rs.714.00 Lakhs for LPA (MTB &amp; NTM) Kits, NTM Phenotypic DST kits,  MGIT Kits for the use in IRL &amp; C&amp;DST Lab Kozhikode.
Rs. 493.00 Lakhs for approximately 50000 Nos of CBNAAT MTB/RIF PCR Test Kit, Rs. 193.00 lakhs for approximately 25000 Nos of TrueNAAT Micro PCR MTB Test Kit.,Rs. 60.00 Lakhs for other Lab Consumables &amp; Reagents for IRL, TB identification antigen card etc. 
</t>
  </si>
  <si>
    <t xml:space="preserve">1. Amount Approved Rs 7 L
For 350 cases@ Rs 2,000/- per case
2. Rs.13 lakhs revalidation
</t>
  </si>
  <si>
    <t>1. Amount Approved Rs 2 L
For 100 cases@ Rs 2,000/- per case
2. Rs.5 lakhs revalidation</t>
  </si>
  <si>
    <t>1.Amount Approved Rs 8 L
For 400 cases@ Rs 2,000/- per case
2. Rs.10 lakhs revalidation</t>
  </si>
  <si>
    <t>1. Amount Approved Rs 4 L
For 200 cases@ Rs 2,000/- per case
2.Rs.7 lakhs revalidation</t>
  </si>
  <si>
    <t>1.Amount Approved Rs 10 L
For 500 cases@ Rs 2,000/- per case
2. Rs.15 lakhs revalidation</t>
  </si>
  <si>
    <t>1. Amount Approved Rs 3 L
For 150 cases@ Rs 2,000/- per case
2. Rs.3 lakhs revalidation</t>
  </si>
  <si>
    <t>1.Amount Approved Rs 10 L
For 500 cases@ Rs 2,000/- per case
2. Rs.13 lakhs revalidation</t>
  </si>
  <si>
    <t>1.Amount Approved Rs 2 L
For 100 cases@ Rs 2,000/- per case
2. Rs.2 lakhs revalidation</t>
  </si>
  <si>
    <t>1.Amount Approved Rs 3 L
For 150 cases@ Rs 2,000/- per case
2. Rs.8 lakhs revalidation</t>
  </si>
  <si>
    <t>1.Amount Approved Rs 2 L
For 100 cases@ Rs 2,000/- per case
2. Rs.13 lakhs revalidation</t>
  </si>
  <si>
    <t>Details given in Training Annexure</t>
  </si>
  <si>
    <t xml:space="preserve">1  Alternative Vaccine Delivery (AVD): ₹11.9037 lakhs 
• Hard-to-reach areas: 1,167 sessions @ ₹200 per session – 
• Very hard-to-reach areas: 583 sessions @ ₹450 per ses-sion – 
• Other areas: 7,718 sessions @ ₹90 per session 
2  POL for Vaccine Delivery: ₹4.00000 lakhs 
• District Vaccine Store (DVS): ₹1.00000 lakh 
• Regional Vaccine Store (RVS): ₹3.00000 lakhs 
3  Cold Chain Maintenance: ₹2.82000 lakhs 
• Cold Chain Points (112): ₹1,12,000 (₹1.12000 lakhs) 
• District Vaccine Store Maintenance: ₹20,000 (₹0.20000 lakh) 
• WIC/WIF Maintenance: ₹50,000 (₹0.50000 lakh) 
• Procurement of Spare Parts: ₹1,00,000 (₹1.00000 lakh)
a total amount of ₹18.72370 lakhs
</t>
  </si>
  <si>
    <t xml:space="preserve">Alternative Vaccine Delivery (AVD): ₹6.8354lakhs
• Hard-to-reach areas: 670 sessions @ ₹200 per session – 
• 
• Very hard-to-reach areas: 335 sessions @ ₹450 per ses-sion – 
• 
• Other areas: 4,431 sessions @ ₹90 per session –
• POL for Vaccine Delivery: ₹1.00000 lakh
• District Vaccine Store (DVS): ₹1.00000 lakh 
Cold Chain Maintenance: ₹1.36000 lakhs
• Cold Chain Points (66): ₹66,000 (₹0.66000 lakh) 
• District Vaccine Store Maintenance: ₹20,000 (₹0.20000 lakh) 
• Procurement of Spare Parts: ₹50,000 (₹0.50000 lakh)
total amount of ₹9.1954lakhs
</t>
  </si>
  <si>
    <t>Alternative Vaccine Delivery (AVD): ₹9.5894lakhs
• Hard-to-reach areas: 940 sessions @ ₹200 per session –
• Very hard-to-reach areas: 470 sessions @ ₹450 per ses-sion –
• Other areas: 6,216 sessions @ ₹90 per session – ₹
• POL for Vaccine Delivery: ₹1.00000 lakh
• District Vaccine Store (DVS): ₹1.00000 lakh 
Cold Chain Maintenance: ₹1.62000 lakhs
• Cold Chain Points (92): ₹92,000 (₹0.92000 lakh) 
• District Vaccine Store Maintenance: ₹20,000 (₹0.20000 lakh) 
• Procurement of Spare Parts: ₹50,000 (₹0.50000 lakh)
total amount of ₹12.2094lakhs</t>
  </si>
  <si>
    <t xml:space="preserve">Alternative Vaccine Delivery (AVD): ₹9.1459lakhs
• Hard-to-reach areas: 896 sessions @ ₹200 per session – ₹1,79,200 (₹1.79200 lakhs) 
• Very hard-to-reach areas: 448 sessions @ ₹450 per session – ₹2,01,600 (₹2.01600 lakhs) 
• Other areas: 5,931 sessions @ ₹90 per session – ₹5,33,790 (₹5.33790 lakhs) 
POL for Vaccine Delivery: ₹1.00000 lakh
• District Vaccine Store (DVS): ₹1.00000 lakh 
Cold Chain Maintenance: ₹1.88000 lakhs
• Cold Chain Points (88): ₹88,000 (₹0.88000 lakh) 
• District Vaccine Store Maintenance: ₹20,000 (₹0.20000 lakh) 
• WIC/WIF Maintenance: ₹50,000 (₹0.50000 lakh) 
• Procurement of Spare Parts: ₹50,000 (₹0.50000 lakh)
total amount of ₹12.2259lakhs
</t>
  </si>
  <si>
    <t xml:space="preserve">Alternative Vaccine Delivery (AVD): ₹6.6177 lakhs
• Hard-to-reach areas: 648 sessions @ ₹200 per session – 
• Very hard-to-reach areas: 325 sessions @ ₹450 per ses-sion – 
• Other areas: 4,288 sessions @ ₹90 per session –
POL for Vaccine Delivery: ₹1.75000 lakhs
• District Vaccine Store (DVS): ₹1.75000 lakhs 
Cold Chain Maintenance: ₹1.33000 lakhs
• Cold Chain Points (63): ₹63,000 (₹0.63000 lakh) 
• District Vaccine Store Maintenance: ₹20,000 (₹0.20000 lakh) 
• Procurement of Spare Parts: ₹50,000 (₹0.50000 lakh)
total amount of ₹9.6977lakhs
</t>
  </si>
  <si>
    <t xml:space="preserve">Alternative Vaccine Delivery (AVD): ₹12.4525lakhs
• Hard-to-reach areas: 1,220 sessions @ ₹200 per session 
• Very hard-to-reach areas: 610 sessions @ ₹450 per ses-sion – ₹2,74,500 (₹2.74500 lakhs) 
• Other areas: 8,075 sessions @ ₹90 per session – ₹7,26,750 (₹7.26750 lakhs) 
POL for Vaccine Delivery: ₹5.00000 lakhs
• District Vaccine Store (DVS): ₹2.00000 lakhs 
• Regional Vaccine Store (RVS): ₹3.00000 lakhs 
Cold Chain Maintenance: ₹3.02000 lakhs
• Cold Chain Points (132): ₹1,32,000 (₹1.32000 lakhs) 
• District Vaccine Store Maintenance: ₹20,000 (₹0.20000 lakh) 
• WIC/WIF Maintenance: ₹50,000 (₹0.50000 lakh) 
• Procurement of Spare Parts: ₹1,00,000 (₹1.00000 lakh)
total amount of ₹20.4725lakhs
</t>
  </si>
  <si>
    <t xml:space="preserve">Alternative Vaccine Delivery (AVD): ₹11.5713lakhs
• Hard-to-reach areas: 1,134 sessions @ ₹200 per session – ₹2,26,800 (₹2.26800 lakhs) 
• Very hard-to-reach areas: 567 sessions @ ₹450 per ses-sion – ₹2,55,150 (₹2.55150 lakhs) 
• Other areas: 7,506 sessions @ ₹90 per session – ₹6,75,540 (₹6.75540 lakhs) 
POL for Vaccine Delivery: ₹2.00000 lakhs
• District Vaccine Store (DVS): ₹2.00000 lakhs 
Cold Chain Maintenance: ₹1.76000 lakhs
• Cold Chain Points (106): ₹1,06,000 (₹1.06000 lakhs) 
• District Vaccine Store Maintenance: ₹20,000 (₹0.20000 lakh) 
• Procurement of Spare Parts: ₹50,000 (₹0.50000 lakh) 
Thus, a total amount of ₹15.3313lakhs
</t>
  </si>
  <si>
    <t>Alternative Vaccine Delivery (AVD): 13.0033lakhs
• Hard-to-reach areas: 1,274 sessions @ ₹200 per session – ₹2,54,800 (₹2.54800 lakhs) 
• Very hard-to-reach areas: 637 sessions @ ₹450 per ses-sion – ₹2,86,650 (₹2.86650 lakhs) 
• Other areas: 8,433 sessions @ ₹90 per session – ₹7,58,970 (₹7.58970 lakhs) 
POL for Vaccine Delivery: ₹2.00000 lakhs
• District Vaccine Store (DVS): ₹2.00000 lakhs 
Cold Chain Maintenance: ₹1.95000 lakhs
• Cold Chain Points (125): ₹1,25,000 (₹1.25000 lakhs) 
• District Vaccine Store Maintenance: ₹20,000 (₹0.20000 lakh) 
• Procurement of Spare Parts: ₹50,000 (₹0.50000 lakh) 
Thus, a total amount of 17.4533lakhs</t>
  </si>
  <si>
    <t xml:space="preserve">Alternative Vaccine Delivery (AVD): ₹9.9198lakhs
• Hard-to-reach areas: 972 sessions @ ₹200 per session – ₹1,94,400 (₹1.94400 lakhs) 
• Very hard-to-reach areas: 486 sessions @ ₹450 per session – ₹2,18,700 (₹2.18700 lakhs) 
• Other areas: 6,422 sessions @ ₹90 per session – ₹5,77,980 (₹5.77980 lakhs) 
POL for Vaccine Delivery: ₹5.00000 lakhs
• District Vaccine Store (DVS): ₹2.00000 lakhs 
• Regional Vaccine Store (RVS): ₹3.00000 lakhs 
Cold Chain Maintenance: ₹2.57000 lakhs
• Cold Chain Points (87): ₹87,000 (₹0.87000 lakh) 
• District Vaccine Store Maintenance: ₹20,000 (₹0.20000 lakh) 
• WIC/WIF Maintenance: ₹50,000 (₹0.50000 lakh) 
• Procurement of Spare Parts: ₹1,00,000 (₹1.00000 lakh) 
Thus, a total amount of ₹17.6898lakhs
</t>
  </si>
  <si>
    <t>Alternative Vaccine Delivery (AVD): ₹4.8515lakhs
• Hard-to-reach areas: 475 sessions @ ₹200 per session – ₹95,000 (₹0.95000 lakh) 
• Very hard-to-reach areas: 238 sessions @ ₹450 per ses-sion – ₹1,07,100 (₹1.07100 lakhs) 
• Other areas: 3,145 sessions @ ₹90 per session – ₹2,83,050 (₹2.83050 lakhs) 
POL for Vaccine Delivery: ₹2.00000 lakhs
• District Vaccine Store (DVS): ₹2.00000 lakhs 
Cold Chain Maintenance: ₹1.07000 lakhs
• Cold Chain Points (37): ₹37,000 (₹0.37000 lakh) 
• District Vaccine Store Maintenance: ₹20,000 (₹0.20000 lakh) 
• Procurement of Spare Parts: ₹50,000 (₹0.50000 lakh) 
Thus, a total amount of ₹7.9215lakhs</t>
  </si>
  <si>
    <t xml:space="preserve">Alternative Vaccine Delivery (AVD): ₹1.6806lakhs
• Hard-to-reach areas: 1,145 sessions @ ₹200 per session – ₹2,29,000 (₹2.29000 lakhs) 
• Very hard-to-reach areas: 572 sessions @ ₹450 per session – ₹2,57,400 (₹2.57400 lakhs) 
• Other areas: 7,581 sessions @ ₹90 per session – ₹6,82,290 (₹6.82290 lakhs) 
POL for Vaccine Delivery: ₹2.00000 lakhs
• District Vaccine Store (DVS): ₹2.00000 lakhs 
Cold Chain Maintenance: ₹1.81000 lakhs
• Cold Chain Points (111): ₹1,11,000 (₹1.11000 lakhs) 
• District Vaccine Store Maintenance: ₹20,000 (₹0.20000 lakh) 
• Procurement of Spare Parts: ₹50,000 (₹0.50000 lakh) 
Thus, a total amount of ₹15.9906lakhs 
</t>
  </si>
  <si>
    <t xml:space="preserve">Alternative Vaccine Delivery (AVD): ₹6.0624lakhs
• Hard-to-reach areas: 594 sessions @ ₹200 per session – ₹1,18,800 (₹1.18800 lakhs) 
• Very hard-to-reach areas: 297 sessions @ ₹450 per session – ₹1,33,650 (₹1.33650 lakhs) 
• Other areas: 3,941 sessions @ ₹90 per session – ₹3,54,690 (₹3.54690 lakhs) 
POL for Vaccine Delivery: ₹2.00000 lakhs
• District Vaccine Store (DVS): ₹2.00000 lakhs 
Cold Chain Maintenance: ₹1.01000 lakhs
• Cold Chain Points (31): ₹31,000 (₹0.31000 lakh) 
• District Vaccine Store Maintenance: ₹20,000 (₹0.20000 lakh) 
• Procurement of Spare Parts: ₹50,000 (₹0.50000 lakh) 
Thus, a total amount of ₹9.2724lakhs
</t>
  </si>
  <si>
    <r>
      <t>Districts</t>
    </r>
    <r>
      <rPr>
        <sz val="18"/>
        <color rgb="FF000000"/>
        <rFont val="Calibri"/>
      </rPr>
      <t xml:space="preserve"> </t>
    </r>
  </si>
  <si>
    <r>
      <t>TRIVANDRUM</t>
    </r>
    <r>
      <rPr>
        <sz val="18"/>
        <color rgb="FF000000"/>
        <rFont val="Calibri"/>
      </rPr>
      <t xml:space="preserve"> </t>
    </r>
  </si>
  <si>
    <r>
      <t>KOLLAM</t>
    </r>
    <r>
      <rPr>
        <sz val="18"/>
        <color rgb="FF000000"/>
        <rFont val="Calibri"/>
      </rPr>
      <t xml:space="preserve"> </t>
    </r>
  </si>
  <si>
    <r>
      <t>PATHANAMTHITTA</t>
    </r>
    <r>
      <rPr>
        <sz val="18"/>
        <color rgb="FF000000"/>
        <rFont val="Calibri"/>
      </rPr>
      <t xml:space="preserve"> </t>
    </r>
  </si>
  <si>
    <r>
      <t>ALAPPUZHA</t>
    </r>
    <r>
      <rPr>
        <sz val="18"/>
        <color rgb="FF000000"/>
        <rFont val="Calibri"/>
      </rPr>
      <t xml:space="preserve"> </t>
    </r>
  </si>
  <si>
    <r>
      <t>KOTTAYAM</t>
    </r>
    <r>
      <rPr>
        <sz val="18"/>
        <color rgb="FF000000"/>
        <rFont val="Calibri"/>
      </rPr>
      <t xml:space="preserve"> </t>
    </r>
  </si>
  <si>
    <r>
      <t>IDUKKI</t>
    </r>
    <r>
      <rPr>
        <sz val="18"/>
        <color rgb="FF000000"/>
        <rFont val="Calibri"/>
      </rPr>
      <t xml:space="preserve"> </t>
    </r>
  </si>
  <si>
    <r>
      <t>ERNAKULAM</t>
    </r>
    <r>
      <rPr>
        <sz val="18"/>
        <color rgb="FF000000"/>
        <rFont val="Calibri"/>
      </rPr>
      <t xml:space="preserve"> </t>
    </r>
  </si>
  <si>
    <r>
      <t>THRISSUR</t>
    </r>
    <r>
      <rPr>
        <sz val="18"/>
        <color rgb="FF000000"/>
        <rFont val="Calibri"/>
      </rPr>
      <t xml:space="preserve"> </t>
    </r>
  </si>
  <si>
    <r>
      <t>PALAKKAD</t>
    </r>
    <r>
      <rPr>
        <sz val="18"/>
        <color rgb="FF000000"/>
        <rFont val="Calibri"/>
      </rPr>
      <t xml:space="preserve"> </t>
    </r>
  </si>
  <si>
    <r>
      <t>MALAPPURAM</t>
    </r>
    <r>
      <rPr>
        <sz val="18"/>
        <color rgb="FF000000"/>
        <rFont val="Calibri"/>
      </rPr>
      <t xml:space="preserve"> </t>
    </r>
  </si>
  <si>
    <r>
      <t>KOZHIKODE</t>
    </r>
    <r>
      <rPr>
        <sz val="18"/>
        <color rgb="FF000000"/>
        <rFont val="Calibri"/>
      </rPr>
      <t xml:space="preserve"> </t>
    </r>
  </si>
  <si>
    <r>
      <t>WAYANAD</t>
    </r>
    <r>
      <rPr>
        <sz val="18"/>
        <color rgb="FF000000"/>
        <rFont val="Calibri"/>
      </rPr>
      <t xml:space="preserve"> </t>
    </r>
  </si>
  <si>
    <r>
      <t>KANNUR</t>
    </r>
    <r>
      <rPr>
        <sz val="18"/>
        <color rgb="FF000000"/>
        <rFont val="Calibri"/>
      </rPr>
      <t xml:space="preserve"> </t>
    </r>
  </si>
  <si>
    <r>
      <t>KASARGOD</t>
    </r>
    <r>
      <rPr>
        <sz val="18"/>
        <color rgb="FF000000"/>
        <rFont val="Calibri"/>
      </rPr>
      <t xml:space="preserve"> </t>
    </r>
  </si>
  <si>
    <r>
      <t>SHS</t>
    </r>
    <r>
      <rPr>
        <sz val="18"/>
        <color rgb="FF000000"/>
        <rFont val="Calibri"/>
      </rPr>
      <t xml:space="preserve"> </t>
    </r>
  </si>
  <si>
    <r>
      <t>TOTAL</t>
    </r>
    <r>
      <rPr>
        <sz val="18"/>
        <color rgb="FF000000"/>
        <rFont val="Calibri"/>
      </rPr>
      <t xml:space="preserve"> </t>
    </r>
  </si>
  <si>
    <t>2026-27</t>
  </si>
  <si>
    <t>GH Ernakulam</t>
  </si>
  <si>
    <t>DH Palakkad - 15 L
Amount can be booked for Academic activities</t>
  </si>
  <si>
    <t>MHC Kozhikode-Rs.7,90,000/-
GH Kozhikode-Rs.2,54,000/-</t>
  </si>
  <si>
    <t>DH Kannur-Rs.6,65,000/-</t>
  </si>
  <si>
    <t>for Journals</t>
  </si>
  <si>
    <t>MHC Trivandrum-Rs.400,000/-
GH TVM-Rs.8,07,000/-</t>
  </si>
  <si>
    <r>
      <t>Central supplies (Kind grants)</t>
    </r>
    <r>
      <rPr>
        <sz val="12"/>
        <rFont val="Calibri"/>
        <family val="2"/>
      </rPr>
      <t xml:space="preserve"> (To be provided by the PDs)</t>
    </r>
  </si>
  <si>
    <t xml:space="preserve">"1)Equipment -Rs.46.62 lakhs Equipment for new W&amp; C Block in the Selected Hospital in Wayanad district( Aspiration district &amp; Tribal area)
2.Rs.295.92 lakhs revalidation
</t>
  </si>
  <si>
    <r>
      <t xml:space="preserve">1. Alternative Vaccine Delivery 
</t>
    </r>
    <r>
      <rPr>
        <sz val="12"/>
        <rFont val="Calibri"/>
        <family val="2"/>
      </rPr>
      <t>a) in hard to reach areas -@ Rs. 200 per session for 13273: Rs 26.5464 lakhs
b)AVD in very hard to reach areas esp notified by the state/districts as per norms Rs 450 per session for 6637 sessions  : Rs 29.8665 
c) AVD in other areas As per norms Rs. 90 per session for 87822 sessions:Rs 79.04 L
Total Amount Proposed for AVD (Rs. In lakhs): Rs 135.45 L</t>
    </r>
    <r>
      <rPr>
        <b/>
        <sz val="12"/>
        <rFont val="Calibri"/>
        <family val="2"/>
      </rPr>
      <t xml:space="preserve">
2. POL for vaccine delivery from State to district and from district to PHC/CHCs
</t>
    </r>
    <r>
      <rPr>
        <sz val="12"/>
        <rFont val="Calibri"/>
        <family val="2"/>
      </rPr>
      <t>Total Rs 22.75 L for DVS. Additional Rs 3,00,000 each for RVS/SVS Thiruvanathpuram, Ernakulam and Kozhikode. Total Rs 9,00,000
Amount Proposed : Rs 31.75 Lakhs</t>
    </r>
    <r>
      <rPr>
        <b/>
        <sz val="12"/>
        <rFont val="Calibri"/>
        <family val="2"/>
      </rPr>
      <t xml:space="preserve">
3.Cold chain maintenance
</t>
    </r>
    <r>
      <rPr>
        <sz val="12"/>
        <rFont val="Calibri"/>
        <family val="2"/>
      </rPr>
      <t xml:space="preserve">As per norms Rs. 1000/cold chain point per year. Cold chain points 1301- Amount Rs 13.01 lakhs
District Rs.20000/year districts for 14  - Amount Rs 2.8 lakhs
Cold chain maintenance- SVS or RVS having WICs/WIFs for maintenance- Rs. 50000 per SVS or RVS/ year – 6 Stores -Amount Rs 3.0 lakhs
Procurement of spare parts for cold chain Equipments 
State SVS and RVS -1.5 lakhs, Rs.50000/- each for 14 districts – 7 Lakhs 
Total 8.5 lakhs
</t>
    </r>
    <r>
      <rPr>
        <b/>
        <sz val="12"/>
        <rFont val="Calibri"/>
        <family val="2"/>
      </rPr>
      <t xml:space="preserve">
Amount Proposed 26-27 (Rs. In lakhs): Rs 27.31L</t>
    </r>
  </si>
  <si>
    <r>
      <t xml:space="preserve">Quality Management System(QMS) for AEFI Surveillance in 14 districts- Rs.42.42 L                       
1. Assessment -42.42 L                                                                                                                                                           
</t>
    </r>
    <r>
      <rPr>
        <sz val="12"/>
        <rFont val="Calibri"/>
        <family val="2"/>
      </rPr>
      <t>a)Internal Assessment at District level -13.08 L                                                                                                               
(542 institutions @ Rs.500/- per Quarter , district level assessment @ Rs.2000/- per quarter and State level assessment @ Rs.112000/-)  
b)Peer assessment at CHC &amp; PHC/FHC -27.10L                                                                                                                
542 institutions @ Rs.5000/- ,                                                                                                                                       
c) Peer Assessment at District Level -2.24 L @ Rs.16000/- per district</t>
    </r>
    <r>
      <rPr>
        <b/>
        <sz val="12"/>
        <rFont val="Calibri"/>
        <family val="2"/>
      </rPr>
      <t xml:space="preserve">                                                                                                                                                                                                                                                   
Amount Proposed : Rs 42.42lakhs            </t>
    </r>
  </si>
  <si>
    <r>
      <t xml:space="preserve">1.NVHCP
</t>
    </r>
    <r>
      <rPr>
        <sz val="12"/>
        <rFont val="Calibri"/>
        <family val="2"/>
      </rPr>
      <t xml:space="preserve">1. Incentives for updation of NVHCP MIS Portal(Nodal Officer, Pharmacist, Lab Technician)  Rs. 49.24L
2. Incentives for Peer Supporters Rs. 59.40 at district level
</t>
    </r>
    <r>
      <rPr>
        <b/>
        <sz val="12"/>
        <rFont val="Calibri"/>
        <family val="2"/>
      </rPr>
      <t>2.Telemedicine remuneration-Rs.525.84 lakhs
Rs.500 lakh for Health Insurance for NHM staff</t>
    </r>
  </si>
  <si>
    <t>TVM</t>
  </si>
  <si>
    <t>KLM</t>
  </si>
  <si>
    <t>PTA</t>
  </si>
  <si>
    <t>ALPY</t>
  </si>
  <si>
    <t>KTYM</t>
  </si>
  <si>
    <t>IDK</t>
  </si>
  <si>
    <t>EKM</t>
  </si>
  <si>
    <t>TSR</t>
  </si>
  <si>
    <t>PLKD</t>
  </si>
  <si>
    <t>MLPM</t>
  </si>
  <si>
    <t>KKD</t>
  </si>
  <si>
    <t>WYND</t>
  </si>
  <si>
    <t>KNR</t>
  </si>
  <si>
    <t>KSRGD</t>
  </si>
  <si>
    <t>SHS</t>
  </si>
  <si>
    <t>TOTAL</t>
  </si>
  <si>
    <t>Approved amount</t>
  </si>
  <si>
    <t>Details given in PM Annexure</t>
  </si>
  <si>
    <t>Drugs – ₹66.25 lakhs, comprising ₹11.97 lakhs for 3,419 normal deliveries @ ₹350 per beneficiary and ₹54.29 lakhs for 3,393 caesarean section deliveries @ ₹1,600 per beneficiary
b) Diagnostics – ₹54.28 lakhs, comprising diagnostic services for 16,279 deliveries and Ultrasonography (USG) services for 4,345 High-Risk Pregnant (HRP) women.
2: Other Operating Cost – ₹87.06 lakhs, comprising:
a) Blood Transfusion – ₹2.04 lakhs @ ₹300 per beneficiary for 681 cases (342 Normal Deliveries and 339 Caesarean Section Deliveries).
b) Diet – ₹85.02 lakhs, comprising ₹59.38 lakhs for 3,393 Caesarean Section deliveries @ ₹250 per day for 7 days, and ₹25.64 lakhs for 3,419 Normal deliveries @ ₹250 per day for 3 days.</t>
  </si>
  <si>
    <t>Alternative Vaccine Delivery (AVD): ₹9.3672 lakhs
• Hard-to-reach areas: 918 sessions @ ₹200 per session – 
• Very hard-to-reach areas: 459 sessions @ ₹450 per session 
• Other areas: 6,073 sessions @ ₹90 per session –
• POL for Vaccine Delivery: ₹1.00000 lakh
• District Vaccine Store (DVS): ₹1.00000 lakh 
Cold Chain Maintenance: ₹1.62000 lakhs
• Cold Chain Points (92): ₹92,000 (₹0.92000 lakh) 
• District Vaccine Store Maintenance: ₹20,000 (₹0.20000 lakh) 
• Procurement of Spare Parts: ₹50,000 (₹0.50000 lakh)
total amount of ₹11.98720 lakhs</t>
  </si>
  <si>
    <t xml:space="preserve">Amount Approved  Rs 25 L
For 2500 cases @ Rs 1,000/- for the Assistance for consumables/ drugs/ medicines including IOL to the Govt. Hospital for Cataract surgery.
</t>
  </si>
  <si>
    <t>1. Amount Approved Rs 8 L
For 400 cases@ Rs 2,000/- per case
2. Rs.20 lakhs revalidation</t>
  </si>
  <si>
    <t>NVHCP Incentives -Rs.7.40 lakhs 
a) Incentives for Medical Officers, Lab Technicians &amp; Pharmacists (Rs 2 Lakhs)
i) Medical Officers for treatment of Hepatitis B patients @ Rs 500/patient 
ii) Medical Officers for Treatment of Hepatitis C patients @ Rs 200/patient .
iii)  Lab Technicians for HBV testing @ Rs 5/test , for HCV testing @ Rs 5/test .
iv) Pharmacists for dispensation and counseling of Hepatitis B patients @ Rs 40/patient , for dispensation and counseling of Hepatitis C patients @ Rs 30/patient. 
b) Peer Supporter Incentives @ Rs 15000/ month/TC  in 3 Centres (Rs 5.4 Lakhs)
2.eSanjeevani Telemedicine Rs.77.62 lakhs 
1. Remuneration for 7 specialist doctors  – 65.73 Lakhs
2. Remuneration for 2Medical Officers  – 11.89 Lakhs</t>
  </si>
  <si>
    <t>Alternative Vaccine Delivery (AVD): ₹12.4516lakhs
• Hard-to-reach areas: 1,220 sessions @ ₹200 per session – ₹2,44,000 (₹2.44000 lakhs) 
• Very hard-to-reach areas: 610 sessions @ ₹450 per ses-sion – ₹2,74,500 (₹2.74500 lakhs) 
• Other areas: 8,074 sessions @ ₹90 per session – ₹7,26,660 (₹7.26660 lakhs) 
POL for Vaccine Delivery: ₹2.00000 lakhs
• District Vaccine Store (DVS): ₹2.00000 lakhs 
Cold Chain Maintenance: ₹1.69000 lakhs
• Cold Chain Points (119): ₹1,19,000 (₹1.19000 lakhs) 
• District Vaccine Store Maintenance: ₹20,000 (₹0.20000 lakh) 
• Procurement of Spare Parts: ₹50,000 (₹0.50000 lakh) 
a total amount of ₹16.3416lakhs</t>
  </si>
  <si>
    <t>To conduct multispecialty comprehensive geriatric assessment camp at around Old Age Homes Rs. 0.05 L x87 Old Age Homes The services include screening, investigation, management and rehabilitation.</t>
  </si>
  <si>
    <t xml:space="preserve">1  Quality Management System(QMS) for AEFI Surveillance in 14 districts- Rs.49.42 L                       
Assessment -42.42 L                                                                                                                                                           
Internal Assessment at District level -13.08 L                                                                                                               
(542 institutions @ Rs.500/- , district level assessment @ Rs.2000/- and State level assessment @ Rs.112000/-)  
Peer assessment at CHC &amp; PHC/FHC -27.10L                                                                                                                
542 institutions @ Rs.5000/- ,                                                                                                                                       
    Peer Assessment at District Level -2.24 L                                                                                                                                                                                                                                                    
District level @ Rs.50000/- per district                                                                                                                              
Amount Proposed 26-27 (Rs. In lakhs): Rs 49.42                                                                                                          
                                                                       </t>
  </si>
  <si>
    <t>Equipment for new W&amp; C Block in the Selected Hospital in Wayanad district( Aspiration district &amp; Tribal area) - based on comments from the division, Justification for Hystreoscope is added in the Equipment list</t>
  </si>
  <si>
    <t>For 14,33,66,964 IFA Blue tablets for 27,57,057 children (10-19 yrs) @Rs.0.118/tablets :- Since the tablets supplied are already available at the block level, the requirement has been reduced by 50%.</t>
  </si>
  <si>
    <t xml:space="preserve">1. Rewards and Recognition  for  good performing  RKSK Stakeholders  ( NFI equaling   Rs. 1500 each for 10 best AH Counselors (ie Rs.15000)and NFI equaling  Rs. 500 for  600 Best PEs   in State (Rs 3,00,000) ( total 15,000 + 3,00,000=3.15 L )
</t>
  </si>
  <si>
    <t>Approved
Cash Grant: Rs 198.39 L
1.  Rs 50.19 L for HBV testing  for HRGs and General Population @ Rs 10 per test kit 
2. Rs 32.18 L  for HBV testing for ANC @ Rs 10/kit
3. Rs 102.49 L for HCV testing of HRGS and General Population @ Rs 18/kit
4. Rs 10.36 L for HBV viral load testing kits
5. Rs 2.1 L HCV viral load testing Kits
6. Rs 1.05 L for viral load testing kits for SVR
Kind Grant: Rs 121.66 L
1. Rs 93.316 L for HBV viral load testing for 14812 tests
2. Rs 18.9 L for HCV viral load testing kits
3. Rs 9.45 L for 1500 viral load testing kits for SVR</t>
  </si>
  <si>
    <t xml:space="preserve">Approved Rs 5.13 L  for the procurement of Ribavirin @ s 16.27/tablet for 420 tablets for 75 patients each.
Kind Grant: Rs 132.75 L 
1. Rs 57.75 L for treatment of 3850 Kepatitis B patients @ Rs 1500/patient
2. Rs 75 L for treatment of 1500 Hepatistis C patients @ Rs 5000/patient
</t>
  </si>
  <si>
    <t>1. ORS Rs. 49.63L
2. zinc Rs.36.92
3.Rs. 2.19 revalidation
4.SAANS Campaign Launch-World Pneumonia Day- Global Hand wash Day 
Mass Media/ Mid Media Activities @ Rs. 3.35 L 
•        Radio public service announcements/ Jingles @ Rs. 2 L
•        Posters and leaflets in hospitals, schools, and clinics for World Pneumonia Day Observation @ Rs. 1 L
•        Designing of Billboards near hospitals and public places @ Rs. 0.15 L
•        Designing of Banners during health awareness campaigns @  Rs. 0.10 L
•        Designing of Posters for display at bus stands and markets  @ Rs. 0.10 L
New Media Activities @ Rs. 0.5 L
•        Social media posts, videos, and infographics production in vernacular in connection with clinics for World Pneumonia Day Observation @ Rs. 50 L
•        Awareness hashtags: #SAANS #StopPneumonia &amp; safe hand wash challanges
Total 3.85 lks</t>
  </si>
  <si>
    <t>1. Supply of Salt Testing Kit
Proposed amount-Rs.12,00000/- 
To be distributed to ASHA workers in all 12 districts
to analyze the iodine content of the salt consumed.
Amount to procure STK/District – Rs.12,00,000/-
Estimated rate of Per STK = Rs.25
So total number STK/District to be procured =
4000nos
Total number of STK for the 12 District =
4000x12=48000nos
2.IDD Goiter Survey in 2 District @ Rs.50000/-</t>
  </si>
  <si>
    <t>Telemanas</t>
  </si>
  <si>
    <t xml:space="preserve">   
</t>
  </si>
  <si>
    <r>
      <rPr>
        <b/>
        <sz val="12"/>
        <rFont val="Calibri"/>
        <family val="2"/>
      </rPr>
      <t>Rs. 4724.59  lakh</t>
    </r>
    <r>
      <rPr>
        <sz val="12"/>
        <rFont val="Calibri"/>
        <family val="2"/>
      </rPr>
      <t xml:space="preserve"> recommended for  procurement of Haemophilia drugs :
a. Factor VIII: Rs. 1048.308 lakhs @ Rs. 8.95/IU for 1773 patients (236 pediatric + 1537 adults)
b. Factor IX: Rs. 551.806 lakhs @ Rs. 8.99/IU for 330 patient
c. Factor VII:  Rs. 410 lakhs @ Rs 41000/mg for 100 patients
d. APCC: Rs. 2714.47 lakhs @ Rs. 55/IU for 153 patients
</t>
    </r>
    <r>
      <rPr>
        <b/>
        <sz val="12"/>
        <rFont val="Calibri"/>
        <family val="2"/>
      </rPr>
      <t xml:space="preserve">Rs. 807.13 </t>
    </r>
    <r>
      <rPr>
        <sz val="12"/>
        <rFont val="Calibri"/>
        <family val="2"/>
      </rPr>
      <t xml:space="preserve">Lakh may be recommended for procurement of Thalassemia drugs.
a. Deferasirox: 746.01 Lakhs for 1583800 units (134400 units @ 28.8/unit for 250 mg capsules/tablets and 1449400 units @ 48.8/unit for 500 mg capsule/tablet) 
b. Deferiprone Capsule: Rs. 58.73 Lakh for 122000 units (4000 units @ Rs 28.8/unit for 250 mg tablet/capsule and 118000 units @ Rs 48.8/unit for 500 mg tablet/capsule
c. Deferoxamine: Rs. 2.37 Lakh @ Rs 297.12/unit cost with total requirement of 800 units @297.12/unit
</t>
    </r>
    <r>
      <rPr>
        <b/>
        <sz val="12"/>
        <rFont val="Calibri"/>
        <family val="2"/>
      </rPr>
      <t>Rs. 58.37 Lakh</t>
    </r>
    <r>
      <rPr>
        <sz val="12"/>
        <rFont val="Calibri"/>
        <family val="2"/>
      </rPr>
      <t xml:space="preserve">s may be recommended for approval for procurement of blood transfusion bags with Inline filter (6515 units) @INR 896 per bags.
Total - </t>
    </r>
    <r>
      <rPr>
        <b/>
        <sz val="12"/>
        <rFont val="Calibri"/>
        <family val="2"/>
      </rPr>
      <t>Rs. 5590.09</t>
    </r>
    <r>
      <rPr>
        <sz val="12"/>
        <rFont val="Calibri"/>
        <family val="2"/>
      </rPr>
      <t xml:space="preserve">
</t>
    </r>
    <r>
      <rPr>
        <b/>
        <sz val="12"/>
        <rFont val="Calibri"/>
        <family val="2"/>
      </rPr>
      <t>Shifted from 155 -</t>
    </r>
    <r>
      <rPr>
        <sz val="12"/>
        <rFont val="Calibri"/>
        <family val="2"/>
      </rPr>
      <t xml:space="preserve"> Hydroxy urea tab for 3000 sickle cell patients ( based on the incidence rate ) at unit cost 
2.6229/- per tab.
             2.6229 *10,95000 tab = Rs.28,72,076/- 
 Reagent for HPLC test for 5000 positive cases at unit cost Rs. 40,000/- per box. (one box 200 diagnostic test kit)
    Proposed 40,000 * 25 box = Rs. 10,00,000/- </t>
    </r>
  </si>
  <si>
    <t>Proposed for opex of 315 BLS Ambulance @ Rs.1,37,388/- per month, Rs.20 cr revalidation</t>
  </si>
  <si>
    <t>5th year contract value of BEMP , 15 cr revalidation</t>
  </si>
  <si>
    <t>Rs.10 lakhs Procurement of drugs, diagnostic kits, supplies etc under Programme for Prevention and Control of Leptospirosis
Rs.9.98 lakhs revalidation
Rs.3.60 lakhs for Research activity under PPCL (Study-Molecular and Genomic Characterisation of Genus Leptospira from human and animal samples to understand prevalent species and serovars</t>
  </si>
  <si>
    <t xml:space="preserve">Others including operating costs(OOC) - Rs. 67.2 Lakh
1) Operating expenses for State new-born resource centre – Rs. 1.00 Lakh  
                      @ 100000 for SAT hospital 
2)   Operating expenses for SNCU - Rs.25.00 Lakh
                     Rs. 100000x 25 SNCU = Rs.25,00,000/- 
3)  Operating expenses for NBSU :Rs.12.60 Lakh
        Rs. 20000 x 63 NBSU  = 12,60,000/-
4) Operating expenses for NBCC - Rs. 5.10 Lakh
102 delivery points. 
              Rs. 5000 x 102 Delivery point = 5,10,000/- 
5) Operating expenses for Family participatory care (KMC) –    2.50 Lakh
Operational cost for providing KMC and continuing the activities on Family Participatory Care @ 10,000 is proposed for all facilities established at SNCU (25 SNCUs).
                      Rs. 10000 x 25 SNCUs = 2,50,000 /- 
6) Operating expenses for Mother new-born Care Unit - Rs. 6.00  Lakh
  Proposed for W &amp; C ponnani, IMCH Kozhikode, SAT Trivandrum, MCH Alappuzha, MCH Kottayam and MCH Thrissur 
                       Rs. 100000 x 6 MNCU = 6,00,000/-  
7.) Health Institution level activities under MusQan – gap filling activities and equipment purchase.  Proposed for 15  institutions for FY 2026-27 -   proposed 15 institution
Proposed amount of Rs. 15.00 Lakh </t>
  </si>
  <si>
    <t>1. Operating expenses for AH/RKSK clinics: (e.g. Rent, electricity, stationary, internet, office expense etc.) AH/RKSK centre Rs. 12000/centre * 109 AFHCs :-  Rs 13.08 L
2. Mobility  support to 109 counsellors/pooled HR  for conducting 4 outreach session / month for 12 months @Rs.400/session.  (109 counsellor) Rs 20.93 L
3. Bi-annual district level convergence workshop  under RKSK in 14 district. Rs 5000/district :- Rs 1.40 L 
4. As communication support to 94 AH counsellors @ Rs.250 /month for 12 months. ie 2.82 L ( 94 * 250 *12 ) :- Rs 2.82 L</t>
  </si>
  <si>
    <t>1. Community Intervention for AH Services Incentives for Peer Educators Rs 25/month* 12 months*no of  PEs, Total = 10270 peers :- Rs 30.81L
2. Organizing Adolescent Health &amp; Wellness day Rs. 2500* No. of selected blocks*4 AHWD/FY (Total Adolescent Health &amp; Wellness day 109* 4 = 436 Nos.) :- Rs 10.90 L</t>
  </si>
  <si>
    <t xml:space="preserve">1. Rewards and Recognition  for  good performing  RKSK Stakeholders  ( NFI equaling   Rs. 1500 each for 10 best AH Counselors (ie Rs.15000)and NFI equaling  Rs. 500 for  600 Best PEs   in State (Rs 3,00,000) ( total 15,000 + 3,00,000, Rs 3.15 L 
2. Rewards and Recognition  for  good performing  Health Messenger Students @ Rs. 500 worth NF incentive  for 15  best  Health Messenger Students (HWA)  in each of 186 blocks = Rs 13.95 L </t>
  </si>
  <si>
    <t>Others including operating costs(OOC) - Rs.20.00 Lakhs
        2 lakh each for existing 4 NRCs and proposed 12 new NRCs .                            
                            Rs. 200000 x 4 NRCs = 8,00,000/-
                           Rs. 100000 x 12 NRCs for 6 month = 12,00,000/-
New NRC proposed for 12 districts. Operation expenses of 1 lakh per NRC for 6 months. HR will be borne by the state. 
In 12 districts, other than Palakkad and Wayanad, where NRCs are functional, the State is proposing 5 beds for the management of malnutrition cases. The proposed cost is only for operational expenses, and no infrastructure or equipment is required.</t>
  </si>
  <si>
    <t xml:space="preserve">Diagnostics - 2.80 L
Proposing Rs 2.80 Lakhs per district for drugs required for management of reaction 
 OOC - 1079.09 L
1. Proposing Rs 19.80 L  for Case Detection and Management in urban Areas
Proposal for conducting LCDC biannually based on NPCC recomendations
2.  Proposing an amount of Rs 955.82 L as incentive @ Rs 1000 per Volunteer for LCDC
3. Proposing Rs 47.791 L for Orientation training-Training of ASHAS in connection with LCDC
4. . Proposing Rs 15.36 Lakhs for Advocacy/ IEC (Rs 4000/block of urban area) in connection with LCDC.
 5. Proposing Rs 14.337 Lakhs for Printing reporting formats Rs. 30/team in connection with LCDC 
6. Proposing Rs 19.2 Lakhs for Supervision and monitoring @ Rs 3000 per block in connection with LCDC
7. Proposing Rs 4.779 Lakhs for Logistics Rs.10/ team in connection with LCDC.
8. State level workshop in connection with LCDC@ Rs 2 Lakhs </t>
  </si>
  <si>
    <t xml:space="preserve">Rs. 4724.59  lakh recommended for  procurement of Haemophilia drugs :
a. Factor VIII: Rs. 1048.308 lakhs @ Rs. 8.95/IU for 1773 patients (236 pediatric + 1537 adults)
b. Factor IX: Rs. 551.806 lakhs @ Rs. 8.99/IU for 330 patient
c. Factor VII:  Rs. 410 lakhs @ Rs 41000/mg for 100 patients
d. APCC: Rs. 2714.47 lakhs @ Rs. 55/IU for 153 patients
Rs. 807.13 Lakh may be recommended for procurement of Thalassemia drugs.
a. Deferasirox: 746.01 Lakhs for 1583800 units (134400 units @ 28.8/unit for 250 mg capsules/tablets and 1449400 units @ 48.8/unit for 500 mg capsule/tablet) 
b. Deferiprone Capsule: Rs. 58.73 Lakh for 122000 units (4000 units @ Rs 28.8/unit for 250 mg tablet/capsule and 118000 units @ Rs 48.8/unit for 500 mg tablet/capsule
c. Deferoxamine: Rs. 2.37 Lakh @ Rs 297.12/unit cost with total requirement of 800 units @297.12/unit
Rs. 58.37 Lakhs may be recommended for approval for procurement of blood transfusion bags with Inline filter (6515 units) @INR 896 per bags.
Total - Rs. 5590.09
1. Drugs Rs.28.72 Lakhs
Hydroxy urea tab for 3000 sickle cell patients ( based on the incidence rate ) at unit cost 
2.6229/- per tab.
             2.6229 *10,95000 tab = Rs.28,72,076/- 
2. Diagnostics -Rs.10 Lakhs
 " Reagent for HPLC test for 5000 positive cases at unit cost Rs. 40,000/- per box. (one box 200 diagnostic test kit)
    Proposed 40,000 * 25 box = Rs. 10,00,000/- </t>
  </si>
  <si>
    <t>Amount in Crores</t>
  </si>
</sst>
</file>

<file path=xl/styles.xml><?xml version="1.0" encoding="utf-8"?>
<styleSheet xmlns="http://schemas.openxmlformats.org/spreadsheetml/2006/main">
  <numFmts count="12">
    <numFmt numFmtId="43" formatCode="_(* #,##0.00_);_(* \(#,##0.00\);_(* &quot;-&quot;??_);_(@_)"/>
    <numFmt numFmtId="164" formatCode="_ * #,##0.00_ ;_ * \-#,##0.00_ ;_ * &quot;-&quot;??_ ;_ @_ "/>
    <numFmt numFmtId="165" formatCode="_ * #,##0.00_ ;_ * \-#,##0.00_ ;_ * &quot;-&quot;??.0_ ;_ @_ "/>
    <numFmt numFmtId="166" formatCode="0.00000"/>
    <numFmt numFmtId="167" formatCode="0.000"/>
    <numFmt numFmtId="168" formatCode="0.0000"/>
    <numFmt numFmtId="169" formatCode="_(* #,##0.0000_);_(* \(#,##0.0000\);_(* &quot;-&quot;??.00_);_(@_)"/>
    <numFmt numFmtId="170" formatCode="_(* #,##0.0000_);_(* \(#,##0.0000\);_(* &quot;-&quot;??.000_);_(@_)"/>
    <numFmt numFmtId="171" formatCode="_(* #,##0.00000_);_(* \(#,##0.00000\);_(* &quot;-&quot;??.000_);_(@_)"/>
    <numFmt numFmtId="172" formatCode="0.0"/>
    <numFmt numFmtId="173" formatCode="_ * #,##0.00_ ;_ * \-#,##0.00_ ;_ * &quot;-&quot;??.00_ ;_ @_ "/>
    <numFmt numFmtId="174" formatCode="_ * #,##0.0000_ ;_ * \-#,##0.0000_ ;_ * &quot;-&quot;??.00_ ;_ @_ "/>
  </numFmts>
  <fonts count="27">
    <font>
      <sz val="11"/>
      <color theme="1"/>
      <name val="Calibri"/>
      <scheme val="minor"/>
    </font>
    <font>
      <sz val="11"/>
      <color theme="1"/>
      <name val="Calibri"/>
      <family val="2"/>
      <scheme val="minor"/>
    </font>
    <font>
      <b/>
      <sz val="11"/>
      <color theme="1"/>
      <name val="Calibri"/>
      <family val="2"/>
    </font>
    <font>
      <sz val="11"/>
      <color theme="1"/>
      <name val="Calibri"/>
      <family val="2"/>
    </font>
    <font>
      <sz val="11"/>
      <name val="Calibri"/>
      <family val="2"/>
    </font>
    <font>
      <sz val="11"/>
      <color theme="1"/>
      <name val="Calibri"/>
      <family val="2"/>
      <scheme val="minor"/>
    </font>
    <font>
      <sz val="12"/>
      <color theme="1"/>
      <name val="Calibri"/>
      <family val="2"/>
    </font>
    <font>
      <b/>
      <sz val="12"/>
      <color theme="1"/>
      <name val="Calibri"/>
      <family val="2"/>
    </font>
    <font>
      <sz val="12"/>
      <name val="Calibri"/>
      <family val="2"/>
    </font>
    <font>
      <sz val="12"/>
      <color rgb="FFFF0000"/>
      <name val="Calibri"/>
      <family val="2"/>
    </font>
    <font>
      <sz val="11"/>
      <color rgb="FFFF0000"/>
      <name val="Calibri"/>
      <family val="2"/>
      <scheme val="minor"/>
    </font>
    <font>
      <b/>
      <sz val="12"/>
      <name val="&quot;Aptos Narrow&quot;"/>
    </font>
    <font>
      <b/>
      <sz val="12"/>
      <name val="Calibri"/>
      <family val="2"/>
    </font>
    <font>
      <sz val="12"/>
      <name val="Calibri"/>
      <family val="2"/>
      <scheme val="minor"/>
    </font>
    <font>
      <sz val="11"/>
      <color theme="1"/>
      <name val="Calibri"/>
      <family val="2"/>
      <scheme val="minor"/>
    </font>
    <font>
      <b/>
      <sz val="11"/>
      <color theme="1"/>
      <name val="Calibri"/>
      <family val="2"/>
      <scheme val="minor"/>
    </font>
    <font>
      <b/>
      <sz val="12"/>
      <name val="Arial"/>
      <family val="2"/>
    </font>
    <font>
      <sz val="10"/>
      <color rgb="FF000000"/>
      <name val="Arial"/>
      <family val="2"/>
    </font>
    <font>
      <b/>
      <sz val="20"/>
      <color rgb="FF000000"/>
      <name val="Calibri"/>
    </font>
    <font>
      <sz val="18"/>
      <color rgb="FF000000"/>
      <name val="Calibri"/>
    </font>
    <font>
      <sz val="20"/>
      <color rgb="FF000000"/>
      <name val="Calibri"/>
    </font>
    <font>
      <sz val="22"/>
      <color rgb="FF000000"/>
      <name val="Calibri"/>
    </font>
    <font>
      <b/>
      <sz val="22"/>
      <color rgb="FF000000"/>
      <name val="Calibri"/>
    </font>
    <font>
      <sz val="12"/>
      <name val="&quot;Aptos Narrow&quot;"/>
    </font>
    <font>
      <sz val="12"/>
      <name val="&quot;Cambria&quot;"/>
    </font>
    <font>
      <sz val="12"/>
      <name val="Arial"/>
      <family val="2"/>
    </font>
    <font>
      <b/>
      <sz val="12"/>
      <name val="Calibri"/>
      <family val="2"/>
      <scheme val="minor"/>
    </font>
  </fonts>
  <fills count="16">
    <fill>
      <patternFill patternType="none"/>
    </fill>
    <fill>
      <patternFill patternType="gray125"/>
    </fill>
    <fill>
      <patternFill patternType="solid">
        <fgColor rgb="FFA4C2F4"/>
        <bgColor rgb="FFA4C2F4"/>
      </patternFill>
    </fill>
    <fill>
      <patternFill patternType="solid">
        <fgColor theme="0"/>
        <bgColor theme="0"/>
      </patternFill>
    </fill>
    <fill>
      <patternFill patternType="solid">
        <fgColor rgb="FFFFFF00"/>
        <bgColor rgb="FFFFFF00"/>
      </patternFill>
    </fill>
    <fill>
      <patternFill patternType="solid">
        <fgColor rgb="FFFFF2CC"/>
        <bgColor rgb="FFFFF2CC"/>
      </patternFill>
    </fill>
    <fill>
      <patternFill patternType="solid">
        <fgColor rgb="FFFFFFFF"/>
        <bgColor rgb="FFFFFFFF"/>
      </patternFill>
    </fill>
    <fill>
      <patternFill patternType="solid">
        <fgColor rgb="FFFF9900"/>
        <bgColor rgb="FFFF9900"/>
      </patternFill>
    </fill>
    <fill>
      <patternFill patternType="solid">
        <fgColor rgb="FFFCE5CD"/>
        <bgColor rgb="FFFCE5CD"/>
      </patternFill>
    </fill>
    <fill>
      <patternFill patternType="solid">
        <fgColor rgb="FFF9CB9C"/>
        <bgColor rgb="FFF9CB9C"/>
      </patternFill>
    </fill>
    <fill>
      <patternFill patternType="solid">
        <fgColor rgb="FFB6D7A8"/>
        <bgColor rgb="FFB6D7A8"/>
      </patternFill>
    </fill>
    <fill>
      <patternFill patternType="solid">
        <fgColor theme="0"/>
        <bgColor indexed="64"/>
      </patternFill>
    </fill>
    <fill>
      <patternFill patternType="solid">
        <fgColor rgb="FFFFFF00"/>
        <bgColor indexed="64"/>
      </patternFill>
    </fill>
    <fill>
      <patternFill patternType="solid">
        <fgColor rgb="FF4F81BD"/>
        <bgColor indexed="64"/>
      </patternFill>
    </fill>
    <fill>
      <patternFill patternType="solid">
        <fgColor rgb="FFD0D8E8"/>
        <bgColor indexed="64"/>
      </patternFill>
    </fill>
    <fill>
      <patternFill patternType="solid">
        <fgColor rgb="FFE9EDF4"/>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4" fillId="0" borderId="0" applyFont="0" applyFill="0" applyBorder="0" applyAlignment="0" applyProtection="0"/>
    <xf numFmtId="0" fontId="17" fillId="0" borderId="0"/>
  </cellStyleXfs>
  <cellXfs count="525">
    <xf numFmtId="0" fontId="0" fillId="0" borderId="0" xfId="0" applyFont="1" applyAlignment="1"/>
    <xf numFmtId="0" fontId="3"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xf numFmtId="0" fontId="2" fillId="0" borderId="0" xfId="0" applyFont="1" applyAlignment="1">
      <alignment horizontal="left" vertical="center"/>
    </xf>
    <xf numFmtId="0" fontId="6" fillId="0" borderId="0" xfId="0" applyFont="1" applyAlignment="1">
      <alignment wrapText="1"/>
    </xf>
    <xf numFmtId="0" fontId="5" fillId="0" borderId="0" xfId="0" applyFont="1" applyAlignment="1">
      <alignment wrapText="1"/>
    </xf>
    <xf numFmtId="0" fontId="3" fillId="0" borderId="0" xfId="0" applyFont="1" applyAlignment="1">
      <alignment vertical="center" wrapText="1"/>
    </xf>
    <xf numFmtId="0" fontId="5" fillId="4" borderId="0" xfId="0" applyFont="1" applyFill="1"/>
    <xf numFmtId="0" fontId="7" fillId="0" borderId="0" xfId="0" applyFont="1" applyAlignment="1">
      <alignment horizontal="left" vertical="center"/>
    </xf>
    <xf numFmtId="0" fontId="6" fillId="0" borderId="0" xfId="0" applyFont="1" applyAlignment="1">
      <alignment horizontal="center" wrapText="1"/>
    </xf>
    <xf numFmtId="0" fontId="7" fillId="0" borderId="0" xfId="0" applyFont="1" applyAlignment="1">
      <alignment horizontal="left"/>
    </xf>
    <xf numFmtId="0" fontId="6" fillId="0" borderId="0" xfId="0" applyFont="1" applyAlignment="1">
      <alignment horizontal="center" vertical="center" wrapText="1"/>
    </xf>
    <xf numFmtId="0" fontId="6" fillId="0" borderId="0" xfId="0" applyFont="1"/>
    <xf numFmtId="0" fontId="10" fillId="0" borderId="0" xfId="0" applyFont="1" applyAlignment="1"/>
    <xf numFmtId="0" fontId="11" fillId="0" borderId="6" xfId="0" applyFont="1" applyBorder="1" applyAlignment="1">
      <alignment horizontal="center" wrapText="1"/>
    </xf>
    <xf numFmtId="0" fontId="11" fillId="6" borderId="6" xfId="0" applyFont="1" applyFill="1" applyBorder="1" applyAlignment="1">
      <alignment horizontal="center" wrapText="1"/>
    </xf>
    <xf numFmtId="0" fontId="11" fillId="0" borderId="6" xfId="0" applyFont="1" applyBorder="1" applyAlignment="1">
      <alignment horizontal="left" wrapText="1"/>
    </xf>
    <xf numFmtId="0" fontId="12" fillId="0" borderId="6" xfId="0" applyFont="1" applyBorder="1" applyAlignment="1">
      <alignment horizontal="right" vertical="center" wrapText="1"/>
    </xf>
    <xf numFmtId="2" fontId="12" fillId="0" borderId="6" xfId="0" applyNumberFormat="1" applyFont="1" applyBorder="1" applyAlignment="1">
      <alignment horizontal="right" vertical="center" wrapText="1"/>
    </xf>
    <xf numFmtId="0" fontId="8" fillId="0" borderId="6" xfId="0" applyFont="1" applyBorder="1" applyAlignment="1">
      <alignment horizontal="right" vertical="center" wrapText="1"/>
    </xf>
    <xf numFmtId="0" fontId="13" fillId="0" borderId="0" xfId="0" applyFont="1" applyAlignment="1"/>
    <xf numFmtId="0" fontId="8" fillId="0" borderId="6" xfId="0" applyFont="1" applyBorder="1" applyAlignment="1">
      <alignment horizontal="center" vertical="center" wrapText="1"/>
    </xf>
    <xf numFmtId="168" fontId="12" fillId="0" borderId="6" xfId="0" applyNumberFormat="1" applyFont="1" applyBorder="1" applyAlignment="1">
      <alignment horizontal="right" vertical="center" wrapText="1"/>
    </xf>
    <xf numFmtId="0" fontId="18" fillId="13" borderId="6" xfId="0" applyFont="1" applyFill="1" applyBorder="1" applyAlignment="1">
      <alignment horizontal="center" wrapText="1" readingOrder="1"/>
    </xf>
    <xf numFmtId="0" fontId="18" fillId="13" borderId="6" xfId="0" applyFont="1" applyFill="1" applyBorder="1" applyAlignment="1">
      <alignment horizontal="left" readingOrder="1"/>
    </xf>
    <xf numFmtId="0" fontId="20" fillId="14" borderId="6" xfId="0" applyFont="1" applyFill="1" applyBorder="1" applyAlignment="1">
      <alignment horizontal="left" readingOrder="1"/>
    </xf>
    <xf numFmtId="0" fontId="20" fillId="15" borderId="6" xfId="0" applyFont="1" applyFill="1" applyBorder="1" applyAlignment="1">
      <alignment horizontal="left" readingOrder="1"/>
    </xf>
    <xf numFmtId="0" fontId="0" fillId="0" borderId="0" xfId="0" applyFont="1" applyAlignment="1">
      <alignment readingOrder="1"/>
    </xf>
    <xf numFmtId="2" fontId="21" fillId="14" borderId="6" xfId="0" applyNumberFormat="1" applyFont="1" applyFill="1" applyBorder="1" applyAlignment="1">
      <alignment horizontal="right" wrapText="1" readingOrder="1"/>
    </xf>
    <xf numFmtId="2" fontId="21" fillId="15" borderId="6" xfId="0" applyNumberFormat="1" applyFont="1" applyFill="1" applyBorder="1" applyAlignment="1">
      <alignment horizontal="right" wrapText="1" readingOrder="1"/>
    </xf>
    <xf numFmtId="2" fontId="22" fillId="15" borderId="6" xfId="0" applyNumberFormat="1" applyFont="1" applyFill="1" applyBorder="1" applyAlignment="1">
      <alignment horizontal="right" wrapText="1" readingOrder="1"/>
    </xf>
    <xf numFmtId="0" fontId="12" fillId="0" borderId="0" xfId="0" applyFont="1" applyAlignment="1">
      <alignment horizontal="left" vertical="center"/>
    </xf>
    <xf numFmtId="0" fontId="8" fillId="0" borderId="0" xfId="0" applyFont="1" applyAlignment="1">
      <alignment horizontal="center" wrapText="1"/>
    </xf>
    <xf numFmtId="0" fontId="12" fillId="0" borderId="0" xfId="0" applyFont="1" applyAlignment="1">
      <alignment horizontal="left"/>
    </xf>
    <xf numFmtId="0" fontId="8" fillId="0" borderId="0" xfId="0" applyFont="1" applyAlignment="1">
      <alignment horizontal="center" vertical="center" wrapText="1"/>
    </xf>
    <xf numFmtId="0" fontId="8" fillId="0" borderId="0" xfId="0" applyFont="1" applyAlignment="1">
      <alignment horizontal="left"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2" fillId="2"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23" fillId="0" borderId="6" xfId="0" applyFont="1" applyBorder="1" applyAlignment="1">
      <alignment wrapText="1"/>
    </xf>
    <xf numFmtId="174" fontId="12" fillId="0" borderId="6" xfId="0" applyNumberFormat="1" applyFont="1" applyBorder="1" applyAlignment="1">
      <alignment horizontal="right" vertical="center" wrapText="1"/>
    </xf>
    <xf numFmtId="0" fontId="8" fillId="0" borderId="6" xfId="0" applyFont="1" applyBorder="1" applyAlignment="1">
      <alignment horizontal="left" vertical="center" wrapText="1"/>
    </xf>
    <xf numFmtId="0" fontId="12" fillId="0" borderId="6" xfId="0" applyFont="1" applyBorder="1" applyAlignment="1">
      <alignment horizontal="left" vertical="center" wrapText="1"/>
    </xf>
    <xf numFmtId="164" fontId="12" fillId="0" borderId="6" xfId="0" applyNumberFormat="1" applyFont="1" applyBorder="1" applyAlignment="1">
      <alignment horizontal="right" vertical="center" wrapText="1"/>
    </xf>
    <xf numFmtId="165" fontId="12" fillId="0" borderId="6" xfId="0" applyNumberFormat="1" applyFont="1" applyBorder="1" applyAlignment="1">
      <alignment horizontal="right" vertical="center" wrapText="1"/>
    </xf>
    <xf numFmtId="2" fontId="12" fillId="10" borderId="6" xfId="0" applyNumberFormat="1" applyFont="1" applyFill="1" applyBorder="1" applyAlignment="1">
      <alignment horizontal="right" vertical="center" wrapText="1"/>
    </xf>
    <xf numFmtId="0" fontId="8" fillId="10" borderId="6" xfId="0" applyFont="1" applyFill="1" applyBorder="1" applyAlignment="1">
      <alignment horizontal="left" vertical="center" wrapText="1"/>
    </xf>
    <xf numFmtId="0" fontId="8" fillId="0" borderId="6" xfId="0" applyFont="1" applyBorder="1" applyAlignment="1">
      <alignment horizontal="left" wrapText="1"/>
    </xf>
    <xf numFmtId="0" fontId="8" fillId="0" borderId="6" xfId="0" applyFont="1" applyBorder="1" applyAlignment="1">
      <alignment horizontal="left" vertical="top" wrapText="1"/>
    </xf>
    <xf numFmtId="2" fontId="12" fillId="0" borderId="6" xfId="0" applyNumberFormat="1" applyFont="1" applyFill="1" applyBorder="1" applyAlignment="1">
      <alignment horizontal="right" vertical="center" wrapText="1"/>
    </xf>
    <xf numFmtId="0" fontId="8" fillId="0" borderId="6" xfId="0" applyFont="1" applyFill="1" applyBorder="1" applyAlignment="1">
      <alignment horizontal="left" vertical="center" wrapText="1"/>
    </xf>
    <xf numFmtId="164" fontId="12" fillId="8" borderId="6" xfId="0" applyNumberFormat="1" applyFont="1" applyFill="1" applyBorder="1" applyAlignment="1">
      <alignment horizontal="right" vertical="center" wrapText="1"/>
    </xf>
    <xf numFmtId="0" fontId="12" fillId="8" borderId="6" xfId="0" applyFont="1" applyFill="1" applyBorder="1" applyAlignment="1">
      <alignment horizontal="right" vertical="center" wrapText="1"/>
    </xf>
    <xf numFmtId="0" fontId="8" fillId="0" borderId="6" xfId="0" applyFont="1" applyBorder="1" applyAlignment="1">
      <alignment wrapText="1"/>
    </xf>
    <xf numFmtId="0" fontId="12" fillId="4" borderId="6" xfId="0" applyFont="1" applyFill="1" applyBorder="1" applyAlignment="1">
      <alignment horizontal="center" vertical="center" wrapText="1"/>
    </xf>
    <xf numFmtId="2" fontId="12" fillId="4" borderId="6" xfId="0" applyNumberFormat="1" applyFont="1" applyFill="1" applyBorder="1" applyAlignment="1">
      <alignment horizontal="right" vertical="center" wrapText="1"/>
    </xf>
    <xf numFmtId="0" fontId="8" fillId="0" borderId="6" xfId="0" applyFont="1" applyBorder="1" applyAlignment="1">
      <alignment vertical="center" wrapText="1"/>
    </xf>
    <xf numFmtId="0" fontId="13" fillId="0" borderId="0" xfId="0" applyFont="1" applyAlignment="1">
      <alignment horizontal="left" vertical="top"/>
    </xf>
    <xf numFmtId="0" fontId="8" fillId="5" borderId="6" xfId="0" applyFont="1" applyFill="1" applyBorder="1" applyAlignment="1">
      <alignment horizontal="left" vertical="center" wrapText="1"/>
    </xf>
    <xf numFmtId="164" fontId="12" fillId="3" borderId="6" xfId="0" applyNumberFormat="1" applyFont="1" applyFill="1" applyBorder="1" applyAlignment="1">
      <alignment horizontal="right" vertical="center" wrapText="1"/>
    </xf>
    <xf numFmtId="0" fontId="12" fillId="3" borderId="6" xfId="0" applyFont="1" applyFill="1" applyBorder="1" applyAlignment="1">
      <alignment horizontal="center" vertical="center" wrapText="1"/>
    </xf>
    <xf numFmtId="167" fontId="12" fillId="0" borderId="6" xfId="0" applyNumberFormat="1" applyFont="1" applyBorder="1" applyAlignment="1">
      <alignment horizontal="right" vertical="center" wrapText="1"/>
    </xf>
    <xf numFmtId="0" fontId="12" fillId="0" borderId="6" xfId="0" applyFont="1" applyBorder="1" applyAlignment="1">
      <alignment wrapText="1"/>
    </xf>
    <xf numFmtId="43" fontId="12" fillId="0" borderId="6" xfId="0" applyNumberFormat="1" applyFont="1" applyBorder="1" applyAlignment="1">
      <alignment horizontal="right" vertical="center" wrapText="1"/>
    </xf>
    <xf numFmtId="2" fontId="13" fillId="0" borderId="0" xfId="0" applyNumberFormat="1" applyFont="1" applyAlignment="1"/>
    <xf numFmtId="0" fontId="13" fillId="0" borderId="0" xfId="0" applyFont="1" applyAlignment="1">
      <alignment wrapText="1"/>
    </xf>
    <xf numFmtId="0" fontId="24" fillId="0" borderId="0" xfId="0" applyFont="1" applyAlignment="1">
      <alignment wrapText="1"/>
    </xf>
    <xf numFmtId="0" fontId="12" fillId="0" borderId="6" xfId="0" applyFont="1" applyBorder="1" applyAlignment="1">
      <alignment horizontal="left" wrapText="1"/>
    </xf>
    <xf numFmtId="0" fontId="24" fillId="0" borderId="0" xfId="0" applyFont="1" applyAlignment="1"/>
    <xf numFmtId="0" fontId="12" fillId="4" borderId="6" xfId="0" applyFont="1" applyFill="1" applyBorder="1" applyAlignment="1">
      <alignment horizontal="right" vertical="center" wrapText="1"/>
    </xf>
    <xf numFmtId="164" fontId="12" fillId="4" borderId="6" xfId="0" applyNumberFormat="1" applyFont="1" applyFill="1" applyBorder="1" applyAlignment="1">
      <alignment horizontal="right" vertical="center" wrapText="1"/>
    </xf>
    <xf numFmtId="2" fontId="12" fillId="6" borderId="6" xfId="0" applyNumberFormat="1" applyFont="1" applyFill="1" applyBorder="1" applyAlignment="1">
      <alignment horizontal="right" vertical="center" wrapText="1"/>
    </xf>
    <xf numFmtId="2" fontId="12" fillId="3" borderId="6" xfId="0" applyNumberFormat="1" applyFont="1" applyFill="1" applyBorder="1" applyAlignment="1">
      <alignment horizontal="right" vertical="center" wrapText="1"/>
    </xf>
    <xf numFmtId="0" fontId="8" fillId="3" borderId="6" xfId="0" applyFont="1" applyFill="1" applyBorder="1" applyAlignment="1">
      <alignment vertical="center" wrapText="1"/>
    </xf>
    <xf numFmtId="2" fontId="8" fillId="0" borderId="6" xfId="0" applyNumberFormat="1" applyFont="1" applyBorder="1" applyAlignment="1">
      <alignment horizontal="left" vertical="center" wrapText="1"/>
    </xf>
    <xf numFmtId="0" fontId="8" fillId="6" borderId="6" xfId="0" applyFont="1" applyFill="1" applyBorder="1" applyAlignment="1">
      <alignment vertical="center" wrapText="1"/>
    </xf>
    <xf numFmtId="2" fontId="12" fillId="12" borderId="6" xfId="0" applyNumberFormat="1" applyFont="1" applyFill="1" applyBorder="1" applyAlignment="1">
      <alignment horizontal="right" vertical="center" wrapText="1"/>
    </xf>
    <xf numFmtId="164" fontId="12" fillId="5" borderId="6" xfId="0" applyNumberFormat="1" applyFont="1" applyFill="1" applyBorder="1" applyAlignment="1">
      <alignment horizontal="right" vertical="center" wrapText="1"/>
    </xf>
    <xf numFmtId="164" fontId="8" fillId="0" borderId="6" xfId="0" applyNumberFormat="1" applyFont="1" applyBorder="1" applyAlignment="1">
      <alignment horizontal="center" vertical="center" wrapText="1"/>
    </xf>
    <xf numFmtId="0" fontId="23" fillId="0" borderId="6" xfId="0" applyFont="1" applyBorder="1" applyAlignment="1">
      <alignment horizontal="center" wrapText="1"/>
    </xf>
    <xf numFmtId="0" fontId="16" fillId="0" borderId="6" xfId="0" applyFont="1" applyBorder="1" applyAlignment="1">
      <alignment horizontal="center" wrapText="1"/>
    </xf>
    <xf numFmtId="0" fontId="16" fillId="0" borderId="6" xfId="0" applyFont="1" applyBorder="1" applyAlignment="1">
      <alignment horizontal="left" wrapText="1"/>
    </xf>
    <xf numFmtId="0" fontId="8" fillId="4" borderId="6" xfId="0" applyFont="1" applyFill="1" applyBorder="1" applyAlignment="1">
      <alignment horizontal="right" vertical="center" wrapText="1"/>
    </xf>
    <xf numFmtId="0" fontId="8" fillId="7" borderId="6" xfId="0" applyFont="1" applyFill="1" applyBorder="1" applyAlignment="1">
      <alignment horizontal="center" vertical="center" wrapText="1"/>
    </xf>
    <xf numFmtId="2" fontId="12" fillId="7" borderId="6" xfId="0" applyNumberFormat="1" applyFont="1" applyFill="1" applyBorder="1" applyAlignment="1">
      <alignment horizontal="right" vertical="center" wrapText="1"/>
    </xf>
    <xf numFmtId="164" fontId="12" fillId="7" borderId="6" xfId="0" applyNumberFormat="1" applyFont="1" applyFill="1" applyBorder="1" applyAlignment="1">
      <alignment horizontal="right" vertical="center" wrapText="1"/>
    </xf>
    <xf numFmtId="2" fontId="8"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2" fontId="8" fillId="0" borderId="0" xfId="0" applyNumberFormat="1" applyFont="1" applyAlignment="1">
      <alignment horizontal="left" vertical="center" wrapText="1"/>
    </xf>
    <xf numFmtId="0" fontId="8" fillId="0" borderId="0" xfId="0" applyFont="1"/>
    <xf numFmtId="0" fontId="11" fillId="0" borderId="6" xfId="0" applyFont="1" applyBorder="1" applyAlignment="1">
      <alignment horizontal="center" vertical="center" wrapText="1"/>
    </xf>
    <xf numFmtId="0" fontId="26" fillId="0" borderId="0" xfId="0" applyFont="1" applyAlignment="1"/>
    <xf numFmtId="0" fontId="8" fillId="0" borderId="9" xfId="0" applyFont="1" applyBorder="1" applyAlignment="1">
      <alignment horizontal="left" vertical="center" wrapText="1"/>
    </xf>
    <xf numFmtId="0" fontId="8" fillId="0" borderId="9" xfId="0" applyFont="1" applyBorder="1" applyAlignment="1">
      <alignment horizontal="center" vertical="center" wrapText="1"/>
    </xf>
    <xf numFmtId="0" fontId="12" fillId="4" borderId="9" xfId="0" applyFont="1" applyFill="1" applyBorder="1" applyAlignment="1">
      <alignment horizontal="center" vertical="center" wrapText="1"/>
    </xf>
    <xf numFmtId="0" fontId="12" fillId="4" borderId="9" xfId="0" applyFont="1" applyFill="1" applyBorder="1" applyAlignment="1">
      <alignment horizontal="right" vertical="center" wrapText="1"/>
    </xf>
    <xf numFmtId="164" fontId="12" fillId="4" borderId="9" xfId="0" applyNumberFormat="1" applyFont="1" applyFill="1" applyBorder="1" applyAlignment="1">
      <alignment horizontal="right" vertical="center" wrapText="1"/>
    </xf>
    <xf numFmtId="2" fontId="12" fillId="4" borderId="9" xfId="0" applyNumberFormat="1" applyFont="1" applyFill="1" applyBorder="1" applyAlignment="1">
      <alignment horizontal="right" vertical="center" wrapText="1"/>
    </xf>
    <xf numFmtId="0" fontId="8" fillId="7" borderId="9" xfId="0" applyFont="1" applyFill="1" applyBorder="1" applyAlignment="1">
      <alignment horizontal="center" vertical="center" wrapText="1"/>
    </xf>
    <xf numFmtId="2" fontId="12" fillId="7" borderId="9" xfId="0" applyNumberFormat="1" applyFont="1" applyFill="1" applyBorder="1" applyAlignment="1">
      <alignment horizontal="right" vertical="center" wrapText="1"/>
    </xf>
    <xf numFmtId="164" fontId="12" fillId="7" borderId="9" xfId="0" applyNumberFormat="1" applyFont="1" applyFill="1" applyBorder="1" applyAlignment="1">
      <alignment horizontal="right" vertical="center" wrapText="1"/>
    </xf>
    <xf numFmtId="0" fontId="12" fillId="0" borderId="9" xfId="0" applyFont="1" applyBorder="1" applyAlignment="1">
      <alignment horizontal="center" vertical="center" wrapText="1"/>
    </xf>
    <xf numFmtId="0" fontId="8" fillId="4" borderId="9" xfId="0" applyFont="1" applyFill="1" applyBorder="1" applyAlignment="1">
      <alignment horizontal="center" vertical="center" wrapText="1"/>
    </xf>
    <xf numFmtId="2" fontId="8" fillId="7" borderId="9" xfId="0" applyNumberFormat="1" applyFont="1" applyFill="1" applyBorder="1" applyAlignment="1">
      <alignment horizontal="center" vertical="center" wrapText="1"/>
    </xf>
    <xf numFmtId="43" fontId="8" fillId="0" borderId="9" xfId="0" applyNumberFormat="1" applyFont="1" applyBorder="1" applyAlignment="1"/>
    <xf numFmtId="0" fontId="12" fillId="0" borderId="0" xfId="0" applyFont="1" applyAlignment="1"/>
    <xf numFmtId="0" fontId="8" fillId="0" borderId="0" xfId="0" applyFont="1" applyAlignment="1"/>
    <xf numFmtId="0" fontId="1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2" fillId="2" borderId="9" xfId="0" applyFont="1" applyFill="1" applyBorder="1" applyAlignment="1">
      <alignment horizontal="center" vertical="center" wrapText="1"/>
    </xf>
    <xf numFmtId="0" fontId="12" fillId="0" borderId="9" xfId="0" applyFont="1" applyBorder="1" applyAlignment="1">
      <alignment horizontal="left" vertical="center" wrapText="1"/>
    </xf>
    <xf numFmtId="0" fontId="12" fillId="0" borderId="9" xfId="0" applyFont="1" applyBorder="1" applyAlignment="1">
      <alignment horizontal="right" vertical="center" wrapText="1"/>
    </xf>
    <xf numFmtId="2" fontId="12" fillId="0" borderId="9" xfId="0" applyNumberFormat="1" applyFont="1" applyBorder="1" applyAlignment="1">
      <alignment horizontal="right" vertical="center" wrapText="1"/>
    </xf>
    <xf numFmtId="0" fontId="8" fillId="0" borderId="9" xfId="0" applyFont="1" applyBorder="1" applyAlignment="1">
      <alignment horizontal="right"/>
    </xf>
    <xf numFmtId="2" fontId="8" fillId="0" borderId="9" xfId="0" applyNumberFormat="1" applyFont="1" applyBorder="1" applyAlignment="1">
      <alignment horizontal="right"/>
    </xf>
    <xf numFmtId="0" fontId="12" fillId="0" borderId="9" xfId="0" applyFont="1" applyBorder="1" applyAlignment="1">
      <alignment horizontal="right" vertical="center"/>
    </xf>
    <xf numFmtId="164" fontId="12" fillId="0" borderId="9" xfId="0" applyNumberFormat="1" applyFont="1" applyBorder="1" applyAlignment="1">
      <alignment horizontal="right" vertical="center"/>
    </xf>
    <xf numFmtId="2" fontId="12" fillId="0" borderId="9" xfId="0" applyNumberFormat="1" applyFont="1" applyBorder="1" applyAlignment="1">
      <alignment horizontal="right" vertical="center"/>
    </xf>
    <xf numFmtId="2" fontId="12" fillId="3" borderId="9" xfId="0" applyNumberFormat="1" applyFont="1" applyFill="1" applyBorder="1" applyAlignment="1">
      <alignment horizontal="right"/>
    </xf>
    <xf numFmtId="164" fontId="8" fillId="0" borderId="9" xfId="0" applyNumberFormat="1" applyFont="1" applyBorder="1" applyAlignment="1">
      <alignment horizontal="right"/>
    </xf>
    <xf numFmtId="164" fontId="12" fillId="0" borderId="9" xfId="0" applyNumberFormat="1" applyFont="1" applyBorder="1" applyAlignment="1">
      <alignment horizontal="right" vertical="center" wrapText="1"/>
    </xf>
    <xf numFmtId="165" fontId="12" fillId="0" borderId="9" xfId="0" applyNumberFormat="1" applyFont="1" applyBorder="1" applyAlignment="1">
      <alignment horizontal="right" vertical="center"/>
    </xf>
    <xf numFmtId="0" fontId="8" fillId="0" borderId="9" xfId="0" applyFont="1" applyBorder="1" applyAlignment="1"/>
    <xf numFmtId="0" fontId="8" fillId="0" borderId="9" xfId="0" applyFont="1" applyBorder="1" applyAlignment="1">
      <alignment horizontal="left" wrapText="1"/>
    </xf>
    <xf numFmtId="0" fontId="8" fillId="0" borderId="9" xfId="0" applyFont="1" applyBorder="1" applyAlignment="1">
      <alignment horizontal="center" vertical="center"/>
    </xf>
    <xf numFmtId="164" fontId="8" fillId="0" borderId="9" xfId="0" applyNumberFormat="1" applyFont="1" applyBorder="1" applyAlignment="1">
      <alignment horizontal="right" vertical="center"/>
    </xf>
    <xf numFmtId="0" fontId="8" fillId="0" borderId="9" xfId="0" applyFont="1" applyBorder="1" applyAlignment="1">
      <alignment horizontal="left" vertical="top" wrapText="1"/>
    </xf>
    <xf numFmtId="2" fontId="12" fillId="0" borderId="9" xfId="0" applyNumberFormat="1" applyFont="1" applyBorder="1" applyAlignment="1">
      <alignment horizontal="left" vertical="center" wrapText="1"/>
    </xf>
    <xf numFmtId="166" fontId="12" fillId="0" borderId="9" xfId="0" applyNumberFormat="1" applyFont="1" applyBorder="1" applyAlignment="1">
      <alignment horizontal="right" vertical="center"/>
    </xf>
    <xf numFmtId="2" fontId="8" fillId="0" borderId="9" xfId="0" applyNumberFormat="1" applyFont="1" applyBorder="1" applyAlignment="1"/>
    <xf numFmtId="0" fontId="8" fillId="0" borderId="9" xfId="0" applyFont="1" applyBorder="1" applyAlignment="1">
      <alignment vertical="center" wrapText="1"/>
    </xf>
    <xf numFmtId="164" fontId="12" fillId="0" borderId="9" xfId="0" applyNumberFormat="1" applyFont="1" applyBorder="1" applyAlignment="1">
      <alignment horizontal="left" vertical="center" wrapText="1"/>
    </xf>
    <xf numFmtId="164" fontId="12" fillId="0" borderId="9" xfId="0" applyNumberFormat="1" applyFont="1" applyBorder="1" applyAlignment="1">
      <alignment horizontal="left" vertical="center"/>
    </xf>
    <xf numFmtId="0" fontId="12" fillId="0" borderId="9" xfId="0" applyFont="1" applyBorder="1"/>
    <xf numFmtId="0" fontId="12" fillId="0" borderId="9" xfId="0" applyFont="1" applyBorder="1" applyAlignment="1"/>
    <xf numFmtId="0" fontId="12" fillId="0" borderId="9" xfId="0" applyFont="1" applyBorder="1" applyAlignment="1">
      <alignment horizontal="right"/>
    </xf>
    <xf numFmtId="0" fontId="8" fillId="0" borderId="9" xfId="2" applyFont="1" applyBorder="1" applyAlignment="1">
      <alignment horizontal="center" vertical="center" wrapText="1"/>
    </xf>
    <xf numFmtId="167" fontId="12" fillId="0" borderId="9" xfId="0" applyNumberFormat="1" applyFont="1" applyBorder="1" applyAlignment="1">
      <alignment horizontal="right"/>
    </xf>
    <xf numFmtId="0" fontId="12" fillId="0" borderId="9" xfId="0" applyFont="1" applyBorder="1" applyAlignment="1">
      <alignment vertical="center" wrapText="1"/>
    </xf>
    <xf numFmtId="167" fontId="12" fillId="0" borderId="9" xfId="0" applyNumberFormat="1" applyFont="1" applyBorder="1" applyAlignment="1">
      <alignment vertical="center" wrapText="1"/>
    </xf>
    <xf numFmtId="167" fontId="12" fillId="0" borderId="9" xfId="0" applyNumberFormat="1" applyFont="1" applyBorder="1" applyAlignment="1">
      <alignment horizontal="right" vertical="center" wrapText="1"/>
    </xf>
    <xf numFmtId="2" fontId="12" fillId="0" borderId="9" xfId="0" applyNumberFormat="1" applyFont="1" applyBorder="1" applyAlignment="1">
      <alignment vertical="center" wrapText="1"/>
    </xf>
    <xf numFmtId="43" fontId="8" fillId="0" borderId="9" xfId="0" applyNumberFormat="1" applyFont="1" applyBorder="1" applyAlignment="1">
      <alignment horizontal="center"/>
    </xf>
    <xf numFmtId="43" fontId="12" fillId="0" borderId="9" xfId="0" applyNumberFormat="1" applyFont="1" applyBorder="1" applyAlignment="1">
      <alignment horizontal="right" vertical="center" wrapText="1"/>
    </xf>
    <xf numFmtId="43" fontId="12" fillId="0" borderId="9" xfId="0" applyNumberFormat="1" applyFont="1" applyBorder="1" applyAlignment="1">
      <alignment horizontal="right"/>
    </xf>
    <xf numFmtId="0" fontId="8" fillId="0" borderId="9" xfId="0" applyFont="1" applyBorder="1" applyAlignment="1">
      <alignment horizontal="center"/>
    </xf>
    <xf numFmtId="0" fontId="8" fillId="0" borderId="9" xfId="0" applyFont="1" applyBorder="1" applyAlignment="1">
      <alignment horizontal="right" vertical="center"/>
    </xf>
    <xf numFmtId="167" fontId="12" fillId="0" borderId="9" xfId="0" applyNumberFormat="1" applyFont="1" applyBorder="1" applyAlignment="1">
      <alignment horizontal="right" vertical="center"/>
    </xf>
    <xf numFmtId="2" fontId="8" fillId="0" borderId="9" xfId="0" applyNumberFormat="1" applyFont="1" applyBorder="1" applyAlignment="1">
      <alignment horizontal="center" vertical="center" wrapText="1"/>
    </xf>
    <xf numFmtId="2" fontId="12" fillId="4" borderId="9" xfId="0" applyNumberFormat="1" applyFont="1" applyFill="1" applyBorder="1" applyAlignment="1">
      <alignment horizontal="center" vertical="center" wrapText="1"/>
    </xf>
    <xf numFmtId="0" fontId="12" fillId="0" borderId="9" xfId="0" applyFont="1" applyBorder="1" applyAlignment="1">
      <alignment vertical="center"/>
    </xf>
    <xf numFmtId="0" fontId="8" fillId="11" borderId="9" xfId="2" applyFont="1" applyFill="1" applyBorder="1" applyAlignment="1">
      <alignment horizontal="center" vertical="center" wrapText="1"/>
    </xf>
    <xf numFmtId="0" fontId="8" fillId="0" borderId="0" xfId="0" applyFont="1" applyAlignment="1">
      <alignment vertical="center"/>
    </xf>
    <xf numFmtId="164" fontId="12" fillId="0" borderId="9" xfId="0" applyNumberFormat="1" applyFont="1" applyBorder="1" applyAlignment="1">
      <alignment vertical="center"/>
    </xf>
    <xf numFmtId="0" fontId="8" fillId="11" borderId="9" xfId="0" applyFont="1" applyFill="1" applyBorder="1" applyAlignment="1">
      <alignment horizontal="center" vertical="center"/>
    </xf>
    <xf numFmtId="0" fontId="8" fillId="11" borderId="9" xfId="0" applyFont="1" applyFill="1" applyBorder="1" applyAlignment="1">
      <alignment horizontal="center" vertical="center" wrapText="1"/>
    </xf>
    <xf numFmtId="164" fontId="12" fillId="0" borderId="9" xfId="0" applyNumberFormat="1" applyFont="1" applyBorder="1" applyAlignment="1">
      <alignment horizontal="right"/>
    </xf>
    <xf numFmtId="2" fontId="12" fillId="0" borderId="9" xfId="0" applyNumberFormat="1" applyFont="1" applyBorder="1" applyAlignment="1">
      <alignment horizontal="right"/>
    </xf>
    <xf numFmtId="2" fontId="12" fillId="0" borderId="9" xfId="0" applyNumberFormat="1" applyFont="1" applyBorder="1" applyAlignment="1">
      <alignment horizontal="center"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center"/>
    </xf>
    <xf numFmtId="0" fontId="12" fillId="0" borderId="9" xfId="0" applyFont="1" applyBorder="1" applyAlignment="1">
      <alignment horizontal="left" vertical="center"/>
    </xf>
    <xf numFmtId="0" fontId="12" fillId="0" borderId="9" xfId="0" applyFont="1" applyBorder="1" applyAlignment="1">
      <alignment horizontal="center" vertical="center"/>
    </xf>
    <xf numFmtId="164" fontId="12" fillId="0" borderId="9" xfId="0" applyNumberFormat="1" applyFont="1" applyBorder="1" applyAlignment="1">
      <alignment horizontal="center" vertical="center"/>
    </xf>
    <xf numFmtId="164" fontId="12" fillId="0" borderId="9" xfId="0" applyNumberFormat="1" applyFont="1" applyBorder="1" applyAlignment="1">
      <alignment horizontal="center" vertical="center" wrapText="1"/>
    </xf>
    <xf numFmtId="2" fontId="8" fillId="0" borderId="9" xfId="0" applyNumberFormat="1" applyFont="1" applyBorder="1" applyAlignment="1">
      <alignment horizontal="center" vertical="center"/>
    </xf>
    <xf numFmtId="2" fontId="12" fillId="0" borderId="9" xfId="0" applyNumberFormat="1" applyFont="1" applyBorder="1" applyAlignment="1">
      <alignment horizontal="center" vertical="center"/>
    </xf>
    <xf numFmtId="0" fontId="8" fillId="0" borderId="9" xfId="0" applyFont="1" applyBorder="1" applyAlignment="1">
      <alignment horizontal="center" wrapText="1"/>
    </xf>
    <xf numFmtId="0" fontId="8" fillId="0" borderId="9" xfId="0" applyFont="1" applyBorder="1" applyAlignment="1">
      <alignment horizontal="right" vertical="center" wrapText="1"/>
    </xf>
    <xf numFmtId="0" fontId="12" fillId="0" borderId="9" xfId="0" applyFont="1" applyBorder="1" applyAlignment="1">
      <alignment horizontal="center" wrapText="1"/>
    </xf>
    <xf numFmtId="0" fontId="12" fillId="6" borderId="9" xfId="0" applyFont="1" applyFill="1" applyBorder="1" applyAlignment="1">
      <alignment horizontal="center" wrapText="1"/>
    </xf>
    <xf numFmtId="0" fontId="12" fillId="0" borderId="9" xfId="0" applyFont="1" applyBorder="1" applyAlignment="1">
      <alignment horizontal="left" wrapText="1"/>
    </xf>
    <xf numFmtId="2" fontId="8" fillId="0" borderId="9" xfId="0" applyNumberFormat="1" applyFont="1" applyBorder="1" applyAlignment="1">
      <alignment horizontal="right" vertical="center" wrapText="1"/>
    </xf>
    <xf numFmtId="168" fontId="12" fillId="0" borderId="9" xfId="0" applyNumberFormat="1" applyFont="1" applyBorder="1" applyAlignment="1">
      <alignment horizontal="right" vertical="center" wrapText="1"/>
    </xf>
    <xf numFmtId="0" fontId="8" fillId="0" borderId="0" xfId="0" applyFont="1" applyAlignment="1">
      <alignment horizontal="center" vertical="center"/>
    </xf>
    <xf numFmtId="0" fontId="8" fillId="0" borderId="9" xfId="0" applyFont="1" applyBorder="1" applyAlignment="1">
      <alignment wrapText="1"/>
    </xf>
    <xf numFmtId="2" fontId="8" fillId="0" borderId="0" xfId="0" applyNumberFormat="1" applyFont="1" applyAlignment="1">
      <alignment horizontal="right"/>
    </xf>
    <xf numFmtId="0" fontId="12" fillId="0" borderId="6" xfId="0" applyFont="1" applyBorder="1" applyAlignment="1">
      <alignment horizontal="right" vertical="center"/>
    </xf>
    <xf numFmtId="164" fontId="12" fillId="0" borderId="6" xfId="0" applyNumberFormat="1" applyFont="1" applyBorder="1" applyAlignment="1">
      <alignment horizontal="right" vertical="center"/>
    </xf>
    <xf numFmtId="2" fontId="12" fillId="0" borderId="6" xfId="0" applyNumberFormat="1" applyFont="1" applyBorder="1" applyAlignment="1">
      <alignment horizontal="right" vertical="center"/>
    </xf>
    <xf numFmtId="164" fontId="12" fillId="0" borderId="6" xfId="0" applyNumberFormat="1" applyFont="1" applyBorder="1" applyAlignment="1">
      <alignment horizontal="center" vertical="center"/>
    </xf>
    <xf numFmtId="0" fontId="12" fillId="0" borderId="6" xfId="0" applyFont="1" applyBorder="1" applyAlignment="1">
      <alignment horizontal="center" vertical="center"/>
    </xf>
    <xf numFmtId="2" fontId="12" fillId="0" borderId="6" xfId="0" applyNumberFormat="1" applyFont="1" applyBorder="1" applyAlignment="1">
      <alignment horizontal="center" vertical="center" wrapText="1"/>
    </xf>
    <xf numFmtId="0" fontId="8" fillId="0" borderId="6" xfId="0" applyFont="1" applyBorder="1" applyAlignment="1">
      <alignment horizontal="right"/>
    </xf>
    <xf numFmtId="164" fontId="12" fillId="0" borderId="6" xfId="0" applyNumberFormat="1" applyFont="1" applyFill="1" applyBorder="1" applyAlignment="1">
      <alignment horizontal="right" vertical="center"/>
    </xf>
    <xf numFmtId="0" fontId="8" fillId="0" borderId="0" xfId="0" applyFont="1" applyAlignment="1">
      <alignment horizontal="right"/>
    </xf>
    <xf numFmtId="165" fontId="12" fillId="0" borderId="6" xfId="0" applyNumberFormat="1" applyFont="1" applyBorder="1" applyAlignment="1">
      <alignment horizontal="right" vertical="center"/>
    </xf>
    <xf numFmtId="0" fontId="8" fillId="0" borderId="6" xfId="0" applyFont="1" applyBorder="1" applyAlignment="1">
      <alignment horizontal="center" vertical="center"/>
    </xf>
    <xf numFmtId="164" fontId="8" fillId="0" borderId="6" xfId="0" applyNumberFormat="1" applyFont="1" applyBorder="1" applyAlignment="1">
      <alignment horizontal="right" vertical="center"/>
    </xf>
    <xf numFmtId="0" fontId="12" fillId="0" borderId="6" xfId="0" applyFont="1" applyBorder="1" applyAlignment="1"/>
    <xf numFmtId="164" fontId="12" fillId="0" borderId="6" xfId="0" applyNumberFormat="1" applyFont="1" applyBorder="1" applyAlignment="1">
      <alignment horizontal="left" vertical="center"/>
    </xf>
    <xf numFmtId="0" fontId="12" fillId="0" borderId="6" xfId="0" applyFont="1" applyBorder="1"/>
    <xf numFmtId="0" fontId="12" fillId="0" borderId="6" xfId="0" applyFont="1" applyBorder="1" applyAlignment="1">
      <alignment horizontal="right"/>
    </xf>
    <xf numFmtId="167" fontId="12" fillId="0" borderId="6" xfId="0" applyNumberFormat="1" applyFont="1" applyBorder="1" applyAlignment="1">
      <alignment horizontal="right"/>
    </xf>
    <xf numFmtId="0" fontId="12" fillId="0" borderId="6" xfId="0" applyFont="1" applyBorder="1" applyAlignment="1">
      <alignment vertical="center" wrapText="1"/>
    </xf>
    <xf numFmtId="167" fontId="12" fillId="0" borderId="6" xfId="0" applyNumberFormat="1" applyFont="1" applyBorder="1" applyAlignment="1">
      <alignment vertical="center" wrapText="1"/>
    </xf>
    <xf numFmtId="2" fontId="12" fillId="0" borderId="6" xfId="0" applyNumberFormat="1" applyFont="1" applyBorder="1" applyAlignment="1">
      <alignment vertical="center" wrapText="1"/>
    </xf>
    <xf numFmtId="43" fontId="8" fillId="0" borderId="6" xfId="0" applyNumberFormat="1" applyFont="1" applyBorder="1" applyAlignment="1">
      <alignment horizontal="center"/>
    </xf>
    <xf numFmtId="43" fontId="12" fillId="0" borderId="6" xfId="0" applyNumberFormat="1" applyFont="1" applyBorder="1" applyAlignment="1">
      <alignment horizontal="right"/>
    </xf>
    <xf numFmtId="0" fontId="8" fillId="0" borderId="6" xfId="0" applyFont="1" applyBorder="1" applyAlignment="1">
      <alignment horizontal="center"/>
    </xf>
    <xf numFmtId="0" fontId="8" fillId="0" borderId="6" xfId="0" applyFont="1" applyBorder="1" applyAlignment="1">
      <alignment horizontal="right" vertical="center"/>
    </xf>
    <xf numFmtId="167" fontId="12" fillId="0" borderId="6" xfId="0" applyNumberFormat="1" applyFont="1" applyBorder="1" applyAlignment="1">
      <alignment horizontal="right" vertical="center"/>
    </xf>
    <xf numFmtId="0" fontId="12" fillId="0" borderId="6" xfId="0" applyFont="1" applyBorder="1" applyAlignment="1">
      <alignment vertical="center"/>
    </xf>
    <xf numFmtId="164" fontId="12" fillId="0" borderId="6" xfId="0" applyNumberFormat="1" applyFont="1" applyBorder="1" applyAlignment="1">
      <alignment vertical="center"/>
    </xf>
    <xf numFmtId="2" fontId="12" fillId="0" borderId="6" xfId="0" applyNumberFormat="1" applyFont="1" applyBorder="1" applyAlignment="1">
      <alignment horizontal="right"/>
    </xf>
    <xf numFmtId="164" fontId="12" fillId="0" borderId="6" xfId="0" applyNumberFormat="1" applyFont="1" applyBorder="1" applyAlignment="1">
      <alignment horizontal="right"/>
    </xf>
    <xf numFmtId="0" fontId="8" fillId="0" borderId="6" xfId="0" applyFont="1" applyBorder="1" applyAlignment="1">
      <alignment horizontal="left" vertical="center"/>
    </xf>
    <xf numFmtId="0" fontId="8" fillId="0" borderId="6" xfId="0" applyNumberFormat="1" applyFont="1" applyBorder="1" applyAlignment="1">
      <alignment vertical="center" wrapText="1"/>
    </xf>
    <xf numFmtId="0" fontId="12" fillId="0" borderId="6" xfId="0" applyFont="1" applyBorder="1" applyAlignment="1">
      <alignment horizontal="left" vertical="center"/>
    </xf>
    <xf numFmtId="0" fontId="8" fillId="6" borderId="6" xfId="0" applyFont="1" applyFill="1" applyBorder="1" applyAlignment="1">
      <alignment horizontal="left" vertical="center" wrapText="1"/>
    </xf>
    <xf numFmtId="0" fontId="8" fillId="0" borderId="6" xfId="0" applyFont="1" applyBorder="1" applyAlignment="1">
      <alignment vertical="top" wrapText="1"/>
    </xf>
    <xf numFmtId="2" fontId="8" fillId="0" borderId="6" xfId="0" applyNumberFormat="1" applyFont="1" applyBorder="1" applyAlignment="1">
      <alignment horizontal="center" vertical="center"/>
    </xf>
    <xf numFmtId="2" fontId="12" fillId="0" borderId="6" xfId="0" applyNumberFormat="1" applyFont="1" applyBorder="1" applyAlignment="1">
      <alignment horizontal="center" vertical="center"/>
    </xf>
    <xf numFmtId="0" fontId="8" fillId="0" borderId="6" xfId="0" applyFont="1" applyBorder="1" applyAlignment="1">
      <alignment horizontal="center" wrapText="1"/>
    </xf>
    <xf numFmtId="0" fontId="12" fillId="0" borderId="6" xfId="0" applyFont="1" applyBorder="1" applyAlignment="1">
      <alignment horizontal="center" wrapText="1"/>
    </xf>
    <xf numFmtId="0" fontId="12" fillId="6" borderId="6" xfId="0" applyFont="1" applyFill="1" applyBorder="1" applyAlignment="1">
      <alignment horizontal="center" wrapText="1"/>
    </xf>
    <xf numFmtId="164" fontId="8" fillId="4" borderId="6" xfId="0" applyNumberFormat="1" applyFont="1" applyFill="1" applyBorder="1" applyAlignment="1">
      <alignment horizontal="right" vertical="center" wrapText="1"/>
    </xf>
    <xf numFmtId="2" fontId="8" fillId="4" borderId="6" xfId="0" applyNumberFormat="1" applyFont="1" applyFill="1" applyBorder="1" applyAlignment="1">
      <alignment horizontal="right" vertical="center" wrapText="1"/>
    </xf>
    <xf numFmtId="0" fontId="12" fillId="0" borderId="9" xfId="0" applyFont="1" applyBorder="1" applyAlignment="1">
      <alignment wrapText="1"/>
    </xf>
    <xf numFmtId="0" fontId="8" fillId="0" borderId="9" xfId="2" applyFont="1" applyBorder="1" applyAlignment="1">
      <alignment vertical="center" wrapText="1"/>
    </xf>
    <xf numFmtId="0" fontId="8" fillId="11" borderId="9" xfId="2" applyFont="1" applyFill="1" applyBorder="1" applyAlignment="1">
      <alignment horizontal="left" vertical="center" wrapText="1"/>
    </xf>
    <xf numFmtId="0" fontId="8" fillId="11" borderId="9" xfId="0" applyFont="1" applyFill="1" applyBorder="1" applyAlignment="1">
      <alignment horizontal="justify" vertical="center"/>
    </xf>
    <xf numFmtId="0" fontId="8" fillId="11" borderId="9" xfId="0" applyFont="1" applyFill="1" applyBorder="1" applyAlignment="1">
      <alignment horizontal="justify" vertical="center" wrapText="1"/>
    </xf>
    <xf numFmtId="0" fontId="8" fillId="0" borderId="7" xfId="0" applyFont="1" applyBorder="1" applyAlignment="1">
      <alignment horizontal="left" vertical="center" wrapText="1"/>
    </xf>
    <xf numFmtId="0" fontId="8" fillId="0" borderId="0" xfId="0" applyFont="1" applyAlignment="1">
      <alignment vertical="center" wrapText="1"/>
    </xf>
    <xf numFmtId="0" fontId="8" fillId="11" borderId="9" xfId="0" applyFont="1" applyFill="1" applyBorder="1" applyAlignment="1">
      <alignment vertical="center"/>
    </xf>
    <xf numFmtId="0" fontId="8" fillId="11" borderId="9" xfId="0" applyFont="1" applyFill="1" applyBorder="1" applyAlignment="1">
      <alignment vertical="center" wrapText="1"/>
    </xf>
    <xf numFmtId="0" fontId="8" fillId="0" borderId="6" xfId="0" applyFont="1" applyBorder="1" applyAlignment="1">
      <alignment vertical="center"/>
    </xf>
    <xf numFmtId="0" fontId="8" fillId="0" borderId="2" xfId="0" applyFont="1" applyBorder="1" applyAlignment="1">
      <alignment vertical="center" wrapText="1"/>
    </xf>
    <xf numFmtId="0" fontId="8" fillId="0" borderId="9" xfId="0" applyFont="1" applyBorder="1" applyAlignment="1">
      <alignment horizontal="justify" vertical="center"/>
    </xf>
    <xf numFmtId="0" fontId="8" fillId="0" borderId="0" xfId="0" applyFont="1" applyAlignment="1">
      <alignment horizontal="justify" vertical="center" wrapText="1"/>
    </xf>
    <xf numFmtId="0" fontId="8" fillId="4" borderId="6"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0" borderId="6" xfId="0" applyFont="1" applyBorder="1" applyAlignment="1">
      <alignment horizontal="center"/>
    </xf>
    <xf numFmtId="169" fontId="8" fillId="0" borderId="6" xfId="0" applyNumberFormat="1" applyFont="1" applyBorder="1" applyAlignment="1">
      <alignment horizontal="right" vertical="center" wrapText="1"/>
    </xf>
    <xf numFmtId="2" fontId="8" fillId="0" borderId="0" xfId="0" applyNumberFormat="1" applyFont="1"/>
    <xf numFmtId="0" fontId="8" fillId="0" borderId="9" xfId="0" applyFont="1" applyBorder="1" applyAlignment="1">
      <alignment vertical="top" wrapText="1"/>
    </xf>
    <xf numFmtId="2" fontId="12" fillId="0" borderId="6" xfId="0" applyNumberFormat="1" applyFont="1" applyFill="1" applyBorder="1" applyAlignment="1">
      <alignment horizontal="right" vertical="center"/>
    </xf>
    <xf numFmtId="2" fontId="12" fillId="0" borderId="9" xfId="0" applyNumberFormat="1" applyFont="1" applyFill="1" applyBorder="1" applyAlignment="1">
      <alignment horizontal="center" vertical="center"/>
    </xf>
    <xf numFmtId="164" fontId="12" fillId="0" borderId="9" xfId="0" applyNumberFormat="1" applyFont="1" applyFill="1" applyBorder="1" applyAlignment="1">
      <alignment horizontal="right" vertical="center"/>
    </xf>
    <xf numFmtId="0" fontId="8" fillId="0" borderId="9" xfId="0" applyFont="1" applyBorder="1" applyAlignment="1">
      <alignment horizontal="left" vertical="center"/>
    </xf>
    <xf numFmtId="2" fontId="12" fillId="0" borderId="9" xfId="0" applyNumberFormat="1" applyFont="1" applyBorder="1" applyAlignment="1">
      <alignment horizontal="left" vertical="center"/>
    </xf>
    <xf numFmtId="167" fontId="12" fillId="6" borderId="9" xfId="0" applyNumberFormat="1" applyFont="1" applyFill="1" applyBorder="1" applyAlignment="1">
      <alignment horizontal="right"/>
    </xf>
    <xf numFmtId="43" fontId="8" fillId="3" borderId="9" xfId="0" applyNumberFormat="1" applyFont="1" applyFill="1" applyBorder="1" applyAlignment="1">
      <alignment horizontal="center"/>
    </xf>
    <xf numFmtId="0" fontId="8" fillId="6" borderId="9" xfId="0" applyFont="1" applyFill="1" applyBorder="1" applyAlignment="1">
      <alignment horizontal="left" vertical="center" wrapText="1"/>
    </xf>
    <xf numFmtId="2" fontId="8" fillId="0" borderId="9" xfId="0" applyNumberFormat="1" applyFont="1" applyBorder="1" applyAlignment="1">
      <alignment horizontal="left" vertical="center" wrapText="1"/>
    </xf>
    <xf numFmtId="2" fontId="8" fillId="4" borderId="9" xfId="0" applyNumberFormat="1" applyFont="1" applyFill="1" applyBorder="1" applyAlignment="1">
      <alignment horizontal="right" vertical="center" wrapText="1"/>
    </xf>
    <xf numFmtId="0" fontId="8" fillId="0" borderId="9" xfId="0" applyFont="1" applyBorder="1" applyAlignment="1">
      <alignment vertical="center"/>
    </xf>
    <xf numFmtId="0" fontId="8" fillId="4" borderId="9" xfId="0" applyFont="1" applyFill="1" applyBorder="1" applyAlignment="1">
      <alignment horizontal="right" vertical="center" wrapText="1"/>
    </xf>
    <xf numFmtId="0" fontId="8" fillId="0" borderId="9" xfId="0" applyFont="1" applyFill="1" applyBorder="1" applyAlignment="1">
      <alignment horizontal="left" vertical="center" wrapText="1"/>
    </xf>
    <xf numFmtId="2" fontId="8" fillId="0" borderId="9" xfId="0" applyNumberFormat="1" applyFont="1" applyFill="1" applyBorder="1" applyAlignment="1">
      <alignment horizontal="center"/>
    </xf>
    <xf numFmtId="0" fontId="8" fillId="0" borderId="9" xfId="0" applyNumberFormat="1" applyFont="1" applyBorder="1" applyAlignment="1">
      <alignment vertical="center" wrapText="1"/>
    </xf>
    <xf numFmtId="0" fontId="8" fillId="0" borderId="9" xfId="0" applyFont="1" applyBorder="1" applyAlignment="1">
      <alignment horizontal="justify" vertical="center" wrapText="1"/>
    </xf>
    <xf numFmtId="2" fontId="8" fillId="0" borderId="9" xfId="0" applyNumberFormat="1" applyFont="1" applyBorder="1" applyAlignment="1">
      <alignment horizontal="right" vertical="center"/>
    </xf>
    <xf numFmtId="0" fontId="12" fillId="7" borderId="9" xfId="0" applyFont="1" applyFill="1" applyBorder="1" applyAlignment="1">
      <alignment horizontal="center" vertical="center" wrapText="1"/>
    </xf>
    <xf numFmtId="0" fontId="12" fillId="0" borderId="9" xfId="0" applyFont="1" applyBorder="1" applyAlignment="1">
      <alignment horizontal="center"/>
    </xf>
    <xf numFmtId="2" fontId="8" fillId="3" borderId="9" xfId="0" applyNumberFormat="1" applyFont="1" applyFill="1" applyBorder="1" applyAlignment="1">
      <alignment horizontal="right"/>
    </xf>
    <xf numFmtId="168" fontId="12" fillId="0" borderId="9" xfId="0" applyNumberFormat="1" applyFont="1" applyBorder="1" applyAlignment="1">
      <alignment horizontal="right" vertical="center"/>
    </xf>
    <xf numFmtId="2" fontId="12" fillId="0" borderId="9" xfId="0" applyNumberFormat="1" applyFont="1" applyFill="1" applyBorder="1" applyAlignment="1">
      <alignment horizontal="right" vertical="center"/>
    </xf>
    <xf numFmtId="169" fontId="8" fillId="0" borderId="9" xfId="0" applyNumberFormat="1" applyFont="1" applyBorder="1" applyAlignment="1">
      <alignment horizontal="right" vertical="center" wrapText="1"/>
    </xf>
    <xf numFmtId="164" fontId="8" fillId="4" borderId="9" xfId="0" applyNumberFormat="1" applyFont="1" applyFill="1" applyBorder="1" applyAlignment="1">
      <alignment horizontal="right" vertical="center" wrapText="1"/>
    </xf>
    <xf numFmtId="2" fontId="8" fillId="7" borderId="9" xfId="0" applyNumberFormat="1" applyFont="1" applyFill="1" applyBorder="1" applyAlignment="1">
      <alignment horizontal="right" vertical="center" wrapText="1"/>
    </xf>
    <xf numFmtId="0" fontId="12" fillId="0" borderId="9" xfId="0" applyFont="1" applyFill="1" applyBorder="1" applyAlignment="1">
      <alignment horizontal="right" vertical="center"/>
    </xf>
    <xf numFmtId="0" fontId="6" fillId="0" borderId="0" xfId="0" applyFont="1" applyAlignment="1"/>
    <xf numFmtId="0" fontId="6" fillId="0" borderId="0" xfId="0" applyFont="1" applyAlignment="1">
      <alignment vertical="center"/>
    </xf>
    <xf numFmtId="0" fontId="9" fillId="0" borderId="0" xfId="0" applyFont="1" applyAlignment="1"/>
    <xf numFmtId="0" fontId="8" fillId="0" borderId="9" xfId="0" applyFont="1" applyBorder="1"/>
    <xf numFmtId="0" fontId="7" fillId="0" borderId="0" xfId="0" applyFont="1" applyAlignment="1"/>
    <xf numFmtId="0" fontId="8" fillId="3" borderId="0" xfId="0" applyFont="1" applyFill="1"/>
    <xf numFmtId="0" fontId="8" fillId="0" borderId="0" xfId="0" applyFont="1" applyBorder="1"/>
    <xf numFmtId="0" fontId="12" fillId="0" borderId="0" xfId="0" applyFont="1" applyBorder="1" applyAlignment="1">
      <alignment horizontal="center" wrapText="1"/>
    </xf>
    <xf numFmtId="0" fontId="8" fillId="3" borderId="0" xfId="0" applyFont="1" applyFill="1" applyBorder="1"/>
    <xf numFmtId="0" fontId="12" fillId="2" borderId="9" xfId="0" applyFont="1" applyFill="1" applyBorder="1" applyAlignment="1">
      <alignment horizontal="center" wrapText="1"/>
    </xf>
    <xf numFmtId="0" fontId="12" fillId="0" borderId="9" xfId="0" applyFont="1" applyBorder="1" applyAlignment="1">
      <alignment horizontal="right" wrapText="1"/>
    </xf>
    <xf numFmtId="0" fontId="8" fillId="3" borderId="9" xfId="0" applyFont="1" applyFill="1" applyBorder="1" applyAlignment="1"/>
    <xf numFmtId="0" fontId="8" fillId="3" borderId="9" xfId="0" applyFont="1" applyFill="1" applyBorder="1"/>
    <xf numFmtId="2" fontId="8" fillId="3" borderId="9" xfId="0" applyNumberFormat="1" applyFont="1" applyFill="1" applyBorder="1"/>
    <xf numFmtId="2" fontId="8" fillId="3" borderId="9" xfId="0" applyNumberFormat="1" applyFont="1" applyFill="1" applyBorder="1" applyAlignment="1"/>
    <xf numFmtId="164" fontId="8" fillId="3" borderId="9" xfId="0" applyNumberFormat="1" applyFont="1" applyFill="1" applyBorder="1"/>
    <xf numFmtId="164" fontId="8" fillId="3" borderId="9" xfId="0" applyNumberFormat="1" applyFont="1" applyFill="1" applyBorder="1" applyAlignment="1"/>
    <xf numFmtId="0" fontId="12" fillId="3" borderId="9" xfId="0" applyFont="1" applyFill="1" applyBorder="1" applyAlignment="1">
      <alignment horizontal="center"/>
    </xf>
    <xf numFmtId="164" fontId="12" fillId="3" borderId="9" xfId="0" applyNumberFormat="1" applyFont="1" applyFill="1" applyBorder="1" applyAlignment="1">
      <alignment horizontal="center"/>
    </xf>
    <xf numFmtId="0" fontId="12" fillId="3" borderId="9" xfId="0" applyFont="1" applyFill="1" applyBorder="1" applyAlignment="1">
      <alignment horizontal="right"/>
    </xf>
    <xf numFmtId="2" fontId="8" fillId="0" borderId="9" xfId="0" applyNumberFormat="1" applyFont="1" applyBorder="1"/>
    <xf numFmtId="164" fontId="8" fillId="0" borderId="9" xfId="0" applyNumberFormat="1" applyFont="1" applyBorder="1"/>
    <xf numFmtId="165" fontId="8" fillId="0" borderId="9" xfId="0" applyNumberFormat="1" applyFont="1" applyBorder="1" applyAlignment="1">
      <alignment vertical="center"/>
    </xf>
    <xf numFmtId="165" fontId="12" fillId="3" borderId="9" xfId="0" applyNumberFormat="1" applyFont="1" applyFill="1" applyBorder="1" applyAlignment="1">
      <alignment horizontal="center" vertical="center"/>
    </xf>
    <xf numFmtId="0" fontId="8" fillId="3" borderId="9" xfId="0" applyFont="1" applyFill="1" applyBorder="1" applyAlignment="1">
      <alignment vertical="center"/>
    </xf>
    <xf numFmtId="164" fontId="8" fillId="3" borderId="9" xfId="0" applyNumberFormat="1" applyFont="1" applyFill="1" applyBorder="1" applyAlignment="1">
      <alignment vertical="center"/>
    </xf>
    <xf numFmtId="164" fontId="12" fillId="3" borderId="9" xfId="0" applyNumberFormat="1" applyFont="1" applyFill="1" applyBorder="1" applyAlignment="1">
      <alignment horizontal="center" vertical="center"/>
    </xf>
    <xf numFmtId="2" fontId="8" fillId="3" borderId="9" xfId="0" applyNumberFormat="1" applyFont="1" applyFill="1" applyBorder="1" applyAlignment="1">
      <alignment vertical="center"/>
    </xf>
    <xf numFmtId="164" fontId="12" fillId="0" borderId="9" xfId="0" applyNumberFormat="1" applyFont="1" applyBorder="1" applyAlignment="1">
      <alignment horizontal="right" wrapText="1"/>
    </xf>
    <xf numFmtId="2" fontId="12" fillId="3" borderId="9" xfId="0" applyNumberFormat="1" applyFont="1" applyFill="1" applyBorder="1" applyAlignment="1">
      <alignment horizontal="center"/>
    </xf>
    <xf numFmtId="0" fontId="8" fillId="3" borderId="9" xfId="0" applyFont="1" applyFill="1" applyBorder="1" applyAlignment="1">
      <alignment vertical="center" wrapText="1"/>
    </xf>
    <xf numFmtId="164" fontId="12" fillId="3" borderId="9" xfId="0" applyNumberFormat="1" applyFont="1" applyFill="1" applyBorder="1" applyAlignment="1">
      <alignment horizontal="right"/>
    </xf>
    <xf numFmtId="0" fontId="8" fillId="0" borderId="9" xfId="0" applyFont="1" applyBorder="1" applyAlignment="1">
      <alignment vertical="top"/>
    </xf>
    <xf numFmtId="164" fontId="12" fillId="0" borderId="9" xfId="0" applyNumberFormat="1" applyFont="1" applyFill="1" applyBorder="1" applyAlignment="1">
      <alignment horizontal="center"/>
    </xf>
    <xf numFmtId="0" fontId="8" fillId="3" borderId="9" xfId="0" applyFont="1" applyFill="1" applyBorder="1" applyAlignment="1">
      <alignment horizontal="right"/>
    </xf>
    <xf numFmtId="0" fontId="8" fillId="4" borderId="9" xfId="0" applyFont="1" applyFill="1" applyBorder="1"/>
    <xf numFmtId="164" fontId="8" fillId="3" borderId="9" xfId="0" applyNumberFormat="1" applyFont="1" applyFill="1" applyBorder="1" applyAlignment="1">
      <alignment horizontal="right"/>
    </xf>
    <xf numFmtId="2" fontId="12" fillId="3" borderId="9" xfId="0" applyNumberFormat="1" applyFont="1" applyFill="1" applyBorder="1" applyAlignment="1">
      <alignment horizontal="right" vertical="center" wrapText="1"/>
    </xf>
    <xf numFmtId="167" fontId="8" fillId="0" borderId="9" xfId="0" applyNumberFormat="1" applyFont="1" applyBorder="1" applyAlignment="1"/>
    <xf numFmtId="167" fontId="12" fillId="3" borderId="9" xfId="0" applyNumberFormat="1" applyFont="1" applyFill="1" applyBorder="1" applyAlignment="1">
      <alignment horizontal="right"/>
    </xf>
    <xf numFmtId="167" fontId="8" fillId="3" borderId="9" xfId="0" applyNumberFormat="1" applyFont="1" applyFill="1" applyBorder="1" applyAlignment="1"/>
    <xf numFmtId="43" fontId="12" fillId="0" borderId="9" xfId="0" applyNumberFormat="1" applyFont="1" applyBorder="1" applyAlignment="1"/>
    <xf numFmtId="43" fontId="12" fillId="0" borderId="9" xfId="0" applyNumberFormat="1" applyFont="1" applyBorder="1" applyAlignment="1">
      <alignment horizontal="right" wrapText="1"/>
    </xf>
    <xf numFmtId="43" fontId="12" fillId="3" borderId="9" xfId="0" applyNumberFormat="1" applyFont="1" applyFill="1" applyBorder="1" applyAlignment="1">
      <alignment horizontal="right"/>
    </xf>
    <xf numFmtId="0" fontId="8" fillId="3" borderId="9" xfId="0" applyFont="1" applyFill="1" applyBorder="1" applyAlignment="1">
      <alignment horizontal="center"/>
    </xf>
    <xf numFmtId="2" fontId="12" fillId="3" borderId="9" xfId="0" applyNumberFormat="1" applyFont="1" applyFill="1" applyBorder="1" applyAlignment="1">
      <alignment horizontal="right" wrapText="1"/>
    </xf>
    <xf numFmtId="164" fontId="8" fillId="0" borderId="9" xfId="0" applyNumberFormat="1" applyFont="1" applyBorder="1" applyAlignment="1"/>
    <xf numFmtId="0" fontId="8" fillId="0" borderId="9" xfId="0" applyFont="1" applyBorder="1" applyAlignment="1">
      <alignment horizontal="left"/>
    </xf>
    <xf numFmtId="2" fontId="12" fillId="0" borderId="9" xfId="0" applyNumberFormat="1" applyFont="1" applyBorder="1" applyAlignment="1">
      <alignment horizontal="right" wrapText="1"/>
    </xf>
    <xf numFmtId="0" fontId="12" fillId="3" borderId="9" xfId="0" applyFont="1" applyFill="1" applyBorder="1" applyAlignment="1">
      <alignment horizontal="right" vertical="center"/>
    </xf>
    <xf numFmtId="164" fontId="8" fillId="3" borderId="9" xfId="0" applyNumberFormat="1" applyFont="1" applyFill="1" applyBorder="1" applyAlignment="1">
      <alignment horizontal="right" vertical="center"/>
    </xf>
    <xf numFmtId="0" fontId="8" fillId="0" borderId="9" xfId="2" applyFont="1" applyBorder="1" applyAlignment="1">
      <alignment horizontal="left" vertical="center" wrapText="1"/>
    </xf>
    <xf numFmtId="2" fontId="8" fillId="3" borderId="9" xfId="0" applyNumberFormat="1" applyFont="1" applyFill="1" applyBorder="1" applyAlignment="1">
      <alignment horizontal="center"/>
    </xf>
    <xf numFmtId="0" fontId="12" fillId="3" borderId="9" xfId="0" applyFont="1" applyFill="1" applyBorder="1" applyAlignment="1">
      <alignment horizontal="right" wrapText="1"/>
    </xf>
    <xf numFmtId="0" fontId="8" fillId="3" borderId="9" xfId="0" applyFont="1" applyFill="1" applyBorder="1" applyAlignment="1">
      <alignment horizontal="right" wrapText="1"/>
    </xf>
    <xf numFmtId="170" fontId="8" fillId="3" borderId="9" xfId="0" applyNumberFormat="1" applyFont="1" applyFill="1" applyBorder="1" applyAlignment="1">
      <alignment horizontal="right" wrapText="1"/>
    </xf>
    <xf numFmtId="0" fontId="12" fillId="4" borderId="9" xfId="0" applyFont="1" applyFill="1" applyBorder="1"/>
    <xf numFmtId="0" fontId="8" fillId="7" borderId="9" xfId="0" applyFont="1" applyFill="1" applyBorder="1"/>
    <xf numFmtId="0" fontId="8" fillId="3" borderId="0" xfId="0" applyFont="1" applyFill="1" applyAlignment="1"/>
    <xf numFmtId="0" fontId="12" fillId="0" borderId="0" xfId="0" applyFont="1"/>
    <xf numFmtId="0" fontId="12" fillId="0" borderId="9" xfId="0" applyFont="1" applyBorder="1" applyAlignment="1">
      <alignment horizontal="left" vertical="top" wrapText="1"/>
    </xf>
    <xf numFmtId="0" fontId="12" fillId="0" borderId="9" xfId="0" applyFont="1" applyFill="1" applyBorder="1" applyAlignment="1">
      <alignment horizontal="left" vertical="center" wrapText="1"/>
    </xf>
    <xf numFmtId="2" fontId="8" fillId="4" borderId="9" xfId="0" applyNumberFormat="1" applyFont="1" applyFill="1" applyBorder="1" applyAlignment="1">
      <alignment vertical="center"/>
    </xf>
    <xf numFmtId="0" fontId="8" fillId="4" borderId="9" xfId="0" applyFont="1" applyFill="1" applyBorder="1" applyAlignment="1">
      <alignment vertical="center"/>
    </xf>
    <xf numFmtId="0" fontId="12" fillId="0" borderId="9" xfId="0" applyFont="1" applyFill="1" applyBorder="1" applyAlignment="1">
      <alignment horizontal="center" wrapText="1"/>
    </xf>
    <xf numFmtId="0" fontId="8" fillId="0" borderId="9" xfId="0" applyFont="1" applyFill="1" applyBorder="1"/>
    <xf numFmtId="0" fontId="12" fillId="0" borderId="9" xfId="0" applyFont="1" applyFill="1" applyBorder="1" applyAlignment="1">
      <alignment horizontal="right" wrapText="1"/>
    </xf>
    <xf numFmtId="0" fontId="8" fillId="0" borderId="9" xfId="0" applyFont="1" applyFill="1" applyBorder="1" applyAlignment="1"/>
    <xf numFmtId="0" fontId="8" fillId="0" borderId="9" xfId="0" applyFont="1" applyFill="1" applyBorder="1" applyAlignment="1">
      <alignment vertical="center" wrapText="1"/>
    </xf>
    <xf numFmtId="0" fontId="8" fillId="0" borderId="0" xfId="0" applyFont="1" applyFill="1" applyAlignment="1"/>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165" fontId="12" fillId="0" borderId="9" xfId="0" applyNumberFormat="1" applyFont="1" applyBorder="1" applyAlignment="1">
      <alignment horizontal="right"/>
    </xf>
    <xf numFmtId="167" fontId="12" fillId="0" borderId="9" xfId="0" applyNumberFormat="1" applyFont="1" applyBorder="1"/>
    <xf numFmtId="2" fontId="12" fillId="0" borderId="9" xfId="0" applyNumberFormat="1" applyFont="1" applyBorder="1"/>
    <xf numFmtId="164" fontId="12" fillId="0" borderId="9" xfId="0" applyNumberFormat="1" applyFont="1" applyBorder="1" applyAlignment="1"/>
    <xf numFmtId="2" fontId="12" fillId="0" borderId="9" xfId="0" applyNumberFormat="1" applyFont="1" applyBorder="1" applyAlignment="1">
      <alignment horizontal="center"/>
    </xf>
    <xf numFmtId="164" fontId="12" fillId="0" borderId="9" xfId="0" applyNumberFormat="1" applyFont="1" applyBorder="1" applyAlignment="1">
      <alignment horizontal="center"/>
    </xf>
    <xf numFmtId="164" fontId="12" fillId="6" borderId="9" xfId="0" applyNumberFormat="1" applyFont="1" applyFill="1" applyBorder="1" applyAlignment="1">
      <alignment horizontal="center"/>
    </xf>
    <xf numFmtId="171" fontId="8" fillId="0" borderId="9" xfId="0" applyNumberFormat="1" applyFont="1" applyBorder="1" applyAlignment="1">
      <alignment horizontal="right" vertical="center" wrapText="1"/>
    </xf>
    <xf numFmtId="0" fontId="8" fillId="3" borderId="6" xfId="0" applyFont="1" applyFill="1" applyBorder="1" applyAlignment="1">
      <alignment horizontal="right"/>
    </xf>
    <xf numFmtId="164" fontId="8" fillId="0" borderId="6" xfId="0" applyNumberFormat="1" applyFont="1" applyBorder="1" applyAlignment="1">
      <alignment horizontal="right"/>
    </xf>
    <xf numFmtId="2" fontId="12" fillId="3" borderId="6" xfId="0" applyNumberFormat="1" applyFont="1" applyFill="1" applyBorder="1" applyAlignment="1">
      <alignment horizontal="right" vertical="center"/>
    </xf>
    <xf numFmtId="164" fontId="8" fillId="0" borderId="0" xfId="0" applyNumberFormat="1" applyFont="1" applyAlignment="1">
      <alignment horizontal="right"/>
    </xf>
    <xf numFmtId="168" fontId="8" fillId="0" borderId="0" xfId="0" applyNumberFormat="1" applyFont="1" applyAlignment="1"/>
    <xf numFmtId="172" fontId="12" fillId="0" borderId="6" xfId="0" applyNumberFormat="1" applyFont="1" applyBorder="1" applyAlignment="1">
      <alignment horizontal="center" vertical="center" wrapText="1"/>
    </xf>
    <xf numFmtId="0" fontId="8" fillId="0" borderId="4" xfId="0" applyFont="1" applyBorder="1" applyAlignment="1">
      <alignment horizontal="center"/>
    </xf>
    <xf numFmtId="2" fontId="8" fillId="0" borderId="6" xfId="0" applyNumberFormat="1" applyFont="1" applyBorder="1" applyAlignment="1">
      <alignment horizontal="right" vertical="center" wrapText="1"/>
    </xf>
    <xf numFmtId="2" fontId="8" fillId="0" borderId="6" xfId="0" applyNumberFormat="1" applyFont="1" applyFill="1" applyBorder="1" applyAlignment="1">
      <alignment horizontal="right"/>
    </xf>
    <xf numFmtId="0" fontId="8" fillId="0" borderId="0" xfId="0" applyFont="1" applyFill="1" applyAlignment="1">
      <alignment horizontal="center" vertical="center" wrapText="1"/>
    </xf>
    <xf numFmtId="2" fontId="8" fillId="0" borderId="0" xfId="0" applyNumberFormat="1" applyFont="1" applyFill="1" applyAlignment="1">
      <alignment horizontal="center" vertical="center" wrapText="1"/>
    </xf>
    <xf numFmtId="2" fontId="8" fillId="0" borderId="6" xfId="0" applyNumberFormat="1" applyFont="1" applyBorder="1" applyAlignment="1">
      <alignment horizontal="center" vertical="center" wrapText="1"/>
    </xf>
    <xf numFmtId="0" fontId="8" fillId="6" borderId="6" xfId="0" applyFont="1" applyFill="1" applyBorder="1" applyAlignment="1">
      <alignment horizontal="center" vertical="center" wrapText="1"/>
    </xf>
    <xf numFmtId="2" fontId="8" fillId="4" borderId="6"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NumberFormat="1" applyFont="1" applyBorder="1" applyAlignment="1">
      <alignment horizontal="center" vertical="center" wrapText="1"/>
    </xf>
    <xf numFmtId="2" fontId="8" fillId="7" borderId="6" xfId="0" applyNumberFormat="1" applyFont="1" applyFill="1" applyBorder="1" applyAlignment="1">
      <alignment horizontal="center" vertical="center" wrapText="1"/>
    </xf>
    <xf numFmtId="2" fontId="12" fillId="3" borderId="9" xfId="0" applyNumberFormat="1" applyFont="1" applyFill="1" applyBorder="1" applyAlignment="1">
      <alignment horizontal="right" vertical="center"/>
    </xf>
    <xf numFmtId="0" fontId="6" fillId="0" borderId="0" xfId="0" applyFont="1" applyAlignment="1">
      <alignment vertical="center" wrapText="1"/>
    </xf>
    <xf numFmtId="0" fontId="7" fillId="0" borderId="0" xfId="0" applyFont="1" applyBorder="1" applyAlignment="1">
      <alignment horizontal="center" vertical="center" wrapText="1"/>
    </xf>
    <xf numFmtId="0" fontId="6" fillId="0" borderId="0" xfId="0" applyFont="1" applyBorder="1" applyAlignment="1">
      <alignment horizontal="center" vertical="center" wrapText="1"/>
    </xf>
    <xf numFmtId="166" fontId="8" fillId="0" borderId="9" xfId="0" applyNumberFormat="1" applyFont="1" applyBorder="1" applyAlignment="1">
      <alignment horizontal="right" vertical="center" wrapText="1"/>
    </xf>
    <xf numFmtId="0" fontId="8" fillId="7" borderId="9" xfId="0" applyFont="1" applyFill="1" applyBorder="1" applyAlignment="1">
      <alignment horizontal="right" vertical="center" wrapText="1"/>
    </xf>
    <xf numFmtId="0" fontId="8" fillId="6" borderId="9" xfId="0" applyFont="1" applyFill="1" applyBorder="1" applyAlignment="1">
      <alignment horizontal="left" vertical="center"/>
    </xf>
    <xf numFmtId="164" fontId="12" fillId="0" borderId="6" xfId="0" applyNumberFormat="1" applyFont="1" applyBorder="1" applyAlignment="1">
      <alignment horizontal="center"/>
    </xf>
    <xf numFmtId="0" fontId="8" fillId="7" borderId="6" xfId="0" applyFont="1" applyFill="1" applyBorder="1" applyAlignment="1">
      <alignment horizontal="right" vertical="center" wrapText="1"/>
    </xf>
    <xf numFmtId="2" fontId="8" fillId="0" borderId="9" xfId="0" applyNumberFormat="1" applyFont="1" applyBorder="1" applyAlignment="1">
      <alignment vertical="center" wrapText="1"/>
    </xf>
    <xf numFmtId="2" fontId="8" fillId="0" borderId="9" xfId="0" applyNumberFormat="1" applyFont="1" applyBorder="1" applyAlignment="1">
      <alignment wrapText="1"/>
    </xf>
    <xf numFmtId="164" fontId="8" fillId="6" borderId="9" xfId="0" applyNumberFormat="1" applyFont="1" applyFill="1" applyBorder="1" applyAlignment="1">
      <alignment horizontal="right"/>
    </xf>
    <xf numFmtId="164" fontId="8" fillId="6" borderId="9" xfId="0" applyNumberFormat="1" applyFont="1" applyFill="1" applyBorder="1" applyAlignment="1"/>
    <xf numFmtId="0" fontId="8" fillId="6" borderId="9"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5" fillId="0" borderId="0" xfId="0" applyFont="1" applyAlignment="1"/>
    <xf numFmtId="164" fontId="12" fillId="4" borderId="9" xfId="0" applyNumberFormat="1" applyFont="1" applyFill="1" applyBorder="1" applyAlignment="1">
      <alignment horizontal="right" vertical="center"/>
    </xf>
    <xf numFmtId="2" fontId="12" fillId="4" borderId="9" xfId="0" applyNumberFormat="1" applyFont="1" applyFill="1" applyBorder="1" applyAlignment="1">
      <alignment horizontal="right" vertical="center"/>
    </xf>
    <xf numFmtId="0" fontId="12" fillId="9" borderId="9" xfId="0" applyFont="1" applyFill="1" applyBorder="1" applyAlignment="1">
      <alignment horizontal="right" vertical="center"/>
    </xf>
    <xf numFmtId="0" fontId="12" fillId="9" borderId="9" xfId="0" applyFont="1" applyFill="1" applyBorder="1" applyAlignment="1">
      <alignment horizontal="right" vertical="center" wrapText="1"/>
    </xf>
    <xf numFmtId="2" fontId="8" fillId="4" borderId="9" xfId="0" applyNumberFormat="1" applyFont="1" applyFill="1" applyBorder="1" applyAlignment="1">
      <alignment horizontal="center" vertical="center" wrapText="1"/>
    </xf>
    <xf numFmtId="0" fontId="8" fillId="6" borderId="9" xfId="0" applyFont="1" applyFill="1" applyBorder="1" applyAlignment="1">
      <alignment horizontal="center" vertical="center"/>
    </xf>
    <xf numFmtId="0" fontId="8" fillId="0" borderId="9" xfId="0" applyNumberFormat="1" applyFont="1" applyBorder="1" applyAlignment="1">
      <alignment horizontal="center" vertical="center" wrapText="1"/>
    </xf>
    <xf numFmtId="0" fontId="8" fillId="0" borderId="9" xfId="0" applyFont="1" applyFill="1" applyBorder="1" applyAlignment="1">
      <alignment horizontal="right"/>
    </xf>
    <xf numFmtId="2" fontId="8" fillId="0" borderId="9" xfId="0" applyNumberFormat="1" applyFont="1" applyFill="1" applyBorder="1" applyAlignment="1">
      <alignment horizontal="right"/>
    </xf>
    <xf numFmtId="2" fontId="8" fillId="6" borderId="9" xfId="0" applyNumberFormat="1" applyFont="1" applyFill="1" applyBorder="1" applyAlignment="1"/>
    <xf numFmtId="0" fontId="12" fillId="4" borderId="9" xfId="0" applyFont="1" applyFill="1" applyBorder="1" applyAlignment="1">
      <alignment horizontal="right"/>
    </xf>
    <xf numFmtId="164" fontId="12" fillId="4" borderId="9" xfId="0" applyNumberFormat="1" applyFont="1" applyFill="1" applyBorder="1" applyAlignment="1">
      <alignment horizontal="right"/>
    </xf>
    <xf numFmtId="2" fontId="12" fillId="4" borderId="9" xfId="0" applyNumberFormat="1" applyFont="1" applyFill="1" applyBorder="1" applyAlignment="1">
      <alignment horizontal="right"/>
    </xf>
    <xf numFmtId="0" fontId="8" fillId="0" borderId="9" xfId="0" applyFont="1" applyBorder="1" applyAlignment="1">
      <alignment horizontal="center" vertical="top"/>
    </xf>
    <xf numFmtId="0" fontId="8" fillId="6" borderId="9" xfId="0" applyFont="1" applyFill="1" applyBorder="1" applyAlignment="1">
      <alignment horizontal="center" wrapText="1"/>
    </xf>
    <xf numFmtId="2" fontId="8" fillId="0" borderId="9" xfId="0" applyNumberFormat="1" applyFont="1" applyBorder="1" applyAlignment="1">
      <alignment horizontal="center" wrapText="1"/>
    </xf>
    <xf numFmtId="0" fontId="12" fillId="4" borderId="9" xfId="0" applyFont="1" applyFill="1" applyBorder="1" applyAlignment="1">
      <alignment horizontal="center" wrapText="1"/>
    </xf>
    <xf numFmtId="0" fontId="8" fillId="0" borderId="9" xfId="0" applyFont="1" applyFill="1" applyBorder="1" applyAlignment="1">
      <alignment horizontal="center" wrapText="1"/>
    </xf>
    <xf numFmtId="0" fontId="8" fillId="0" borderId="9" xfId="0" applyNumberFormat="1" applyFont="1" applyBorder="1" applyAlignment="1">
      <alignment horizontal="center" wrapText="1"/>
    </xf>
    <xf numFmtId="0" fontId="8" fillId="4" borderId="9" xfId="0" applyFont="1" applyFill="1" applyBorder="1" applyAlignment="1">
      <alignment horizontal="center" wrapText="1"/>
    </xf>
    <xf numFmtId="0" fontId="8" fillId="0" borderId="9" xfId="2" applyFont="1" applyBorder="1" applyAlignment="1">
      <alignment horizontal="center" wrapText="1"/>
    </xf>
    <xf numFmtId="2" fontId="8" fillId="4" borderId="9" xfId="0" applyNumberFormat="1" applyFont="1" applyFill="1" applyBorder="1" applyAlignment="1">
      <alignment horizontal="center" wrapText="1"/>
    </xf>
    <xf numFmtId="0" fontId="8" fillId="11" borderId="9" xfId="2" applyFont="1" applyFill="1" applyBorder="1" applyAlignment="1">
      <alignment horizontal="center" wrapText="1"/>
    </xf>
    <xf numFmtId="0" fontId="8" fillId="11" borderId="9" xfId="0" applyFont="1" applyFill="1" applyBorder="1" applyAlignment="1">
      <alignment horizontal="center" wrapText="1"/>
    </xf>
    <xf numFmtId="2" fontId="8" fillId="7" borderId="9" xfId="0" applyNumberFormat="1" applyFont="1" applyFill="1" applyBorder="1" applyAlignment="1">
      <alignment horizontal="center" wrapText="1"/>
    </xf>
    <xf numFmtId="0" fontId="1" fillId="0" borderId="0" xfId="0" applyFont="1" applyAlignment="1">
      <alignment horizontal="center"/>
    </xf>
    <xf numFmtId="0" fontId="8" fillId="0" borderId="6" xfId="0" applyFont="1" applyFill="1" applyBorder="1" applyAlignment="1">
      <alignment horizontal="right"/>
    </xf>
    <xf numFmtId="0" fontId="12" fillId="0" borderId="6" xfId="0" applyFont="1" applyFill="1" applyBorder="1" applyAlignment="1">
      <alignment horizontal="right" vertical="center" wrapText="1"/>
    </xf>
    <xf numFmtId="164" fontId="12" fillId="0" borderId="6" xfId="0" applyNumberFormat="1" applyFont="1" applyFill="1" applyBorder="1" applyAlignment="1">
      <alignment horizontal="center"/>
    </xf>
    <xf numFmtId="0" fontId="12" fillId="0" borderId="6" xfId="0" applyFont="1" applyFill="1" applyBorder="1" applyAlignment="1">
      <alignment horizontal="right" vertical="center"/>
    </xf>
    <xf numFmtId="164" fontId="12" fillId="6" borderId="6" xfId="0" applyNumberFormat="1" applyFont="1" applyFill="1" applyBorder="1" applyAlignment="1">
      <alignment horizontal="right" vertical="center"/>
    </xf>
    <xf numFmtId="164" fontId="12" fillId="4" borderId="6" xfId="0" applyNumberFormat="1" applyFont="1" applyFill="1" applyBorder="1" applyAlignment="1">
      <alignment horizontal="right"/>
    </xf>
    <xf numFmtId="0" fontId="8" fillId="0" borderId="6" xfId="0" applyFont="1" applyFill="1" applyBorder="1" applyAlignment="1">
      <alignment horizontal="right" vertical="center" wrapText="1"/>
    </xf>
    <xf numFmtId="164" fontId="8" fillId="0" borderId="9" xfId="0" applyNumberFormat="1" applyFont="1" applyBorder="1" applyAlignment="1">
      <alignment horizontal="left"/>
    </xf>
    <xf numFmtId="43" fontId="8" fillId="0" borderId="9" xfId="0" applyNumberFormat="1" applyFont="1" applyBorder="1" applyAlignment="1">
      <alignment horizontal="right"/>
    </xf>
    <xf numFmtId="166" fontId="12" fillId="0" borderId="9" xfId="0" applyNumberFormat="1" applyFont="1" applyBorder="1" applyAlignment="1">
      <alignment horizontal="right" vertical="center" wrapText="1"/>
    </xf>
    <xf numFmtId="0" fontId="1" fillId="0" borderId="0" xfId="0" applyFont="1" applyAlignment="1">
      <alignment vertical="center"/>
    </xf>
    <xf numFmtId="0" fontId="12" fillId="0" borderId="9" xfId="0" applyFont="1" applyFill="1" applyBorder="1" applyAlignment="1">
      <alignment horizontal="right" vertical="center" wrapText="1"/>
    </xf>
    <xf numFmtId="43" fontId="12" fillId="0" borderId="9" xfId="1" applyFont="1" applyBorder="1" applyAlignment="1" applyProtection="1">
      <alignment vertical="center" wrapText="1"/>
      <protection hidden="1"/>
    </xf>
    <xf numFmtId="165" fontId="8" fillId="0" borderId="9" xfId="0" applyNumberFormat="1" applyFont="1" applyBorder="1" applyAlignment="1">
      <alignment horizontal="right"/>
    </xf>
    <xf numFmtId="2" fontId="8" fillId="0" borderId="9" xfId="0" applyNumberFormat="1" applyFont="1" applyBorder="1" applyAlignment="1">
      <alignment horizontal="left"/>
    </xf>
    <xf numFmtId="164" fontId="12" fillId="8" borderId="9" xfId="0" applyNumberFormat="1" applyFont="1" applyFill="1" applyBorder="1" applyAlignment="1">
      <alignment horizontal="right" vertical="center"/>
    </xf>
    <xf numFmtId="43" fontId="8" fillId="0" borderId="9" xfId="0" applyNumberFormat="1" applyFont="1" applyBorder="1" applyAlignment="1">
      <alignment horizontal="center" wrapText="1"/>
    </xf>
    <xf numFmtId="43" fontId="8" fillId="3" borderId="9" xfId="0" applyNumberFormat="1" applyFont="1" applyFill="1" applyBorder="1" applyAlignment="1">
      <alignment horizontal="center" wrapText="1"/>
    </xf>
    <xf numFmtId="167" fontId="8" fillId="0" borderId="9" xfId="0" applyNumberFormat="1" applyFont="1" applyBorder="1" applyAlignment="1">
      <alignment horizontal="right" vertical="center"/>
    </xf>
    <xf numFmtId="164" fontId="12" fillId="0" borderId="9" xfId="0" applyNumberFormat="1" applyFont="1" applyBorder="1" applyAlignment="1">
      <alignment horizontal="left" vertical="top" wrapText="1"/>
    </xf>
    <xf numFmtId="164" fontId="12" fillId="0" borderId="9" xfId="0" applyNumberFormat="1" applyFont="1" applyBorder="1" applyAlignment="1">
      <alignment horizontal="center" wrapText="1"/>
    </xf>
    <xf numFmtId="2" fontId="8" fillId="0" borderId="9" xfId="0" applyNumberFormat="1" applyFont="1" applyBorder="1" applyAlignment="1">
      <alignment horizontal="center"/>
    </xf>
    <xf numFmtId="4" fontId="8" fillId="0" borderId="9" xfId="0" applyNumberFormat="1" applyFont="1" applyBorder="1" applyAlignment="1">
      <alignment horizontal="center" vertical="top"/>
    </xf>
    <xf numFmtId="164" fontId="12" fillId="5" borderId="9" xfId="0" applyNumberFormat="1" applyFont="1" applyFill="1" applyBorder="1" applyAlignment="1">
      <alignment horizontal="right" vertical="center"/>
    </xf>
    <xf numFmtId="164" fontId="12" fillId="5" borderId="9" xfId="0" applyNumberFormat="1" applyFont="1" applyFill="1" applyBorder="1" applyAlignment="1">
      <alignment horizontal="right" vertical="center" wrapText="1"/>
    </xf>
    <xf numFmtId="0" fontId="8" fillId="5" borderId="9" xfId="0" applyFont="1" applyFill="1" applyBorder="1" applyAlignment="1">
      <alignment horizontal="left" vertical="center" wrapText="1"/>
    </xf>
    <xf numFmtId="164" fontId="8" fillId="0" borderId="9" xfId="0" applyNumberFormat="1" applyFont="1" applyBorder="1" applyAlignment="1">
      <alignment horizontal="center" vertical="center" wrapText="1"/>
    </xf>
    <xf numFmtId="173" fontId="12" fillId="7" borderId="9" xfId="0" applyNumberFormat="1" applyFont="1" applyFill="1" applyBorder="1" applyAlignment="1">
      <alignment horizontal="right" vertical="center" wrapText="1"/>
    </xf>
    <xf numFmtId="0" fontId="12" fillId="0" borderId="9" xfId="0" applyFont="1" applyFill="1" applyBorder="1" applyAlignment="1">
      <alignment horizontal="center"/>
    </xf>
    <xf numFmtId="173" fontId="12" fillId="0" borderId="9" xfId="0" applyNumberFormat="1" applyFont="1" applyFill="1" applyBorder="1" applyAlignment="1">
      <alignment horizontal="right" vertical="center"/>
    </xf>
    <xf numFmtId="0" fontId="12" fillId="0" borderId="9" xfId="0" applyFont="1" applyFill="1" applyBorder="1" applyAlignment="1">
      <alignment horizontal="center" vertical="center" wrapText="1"/>
    </xf>
    <xf numFmtId="2" fontId="8" fillId="0" borderId="9" xfId="0" applyNumberFormat="1" applyFont="1" applyFill="1" applyBorder="1" applyAlignment="1">
      <alignment horizontal="right" vertical="center"/>
    </xf>
    <xf numFmtId="0" fontId="8" fillId="0" borderId="9" xfId="0" applyFont="1" applyFill="1" applyBorder="1" applyAlignment="1">
      <alignment horizontal="right" vertical="center"/>
    </xf>
    <xf numFmtId="2" fontId="8" fillId="0" borderId="9" xfId="0" applyNumberFormat="1" applyFont="1" applyFill="1" applyBorder="1" applyAlignment="1">
      <alignment horizontal="right" vertical="center" wrapText="1"/>
    </xf>
    <xf numFmtId="2" fontId="12" fillId="0" borderId="9" xfId="0" applyNumberFormat="1" applyFont="1" applyFill="1" applyBorder="1" applyAlignment="1">
      <alignment horizontal="center"/>
    </xf>
    <xf numFmtId="173" fontId="12" fillId="4" borderId="9" xfId="0" applyNumberFormat="1" applyFont="1" applyFill="1" applyBorder="1" applyAlignment="1">
      <alignment horizontal="right" vertical="center" wrapText="1"/>
    </xf>
    <xf numFmtId="0" fontId="8" fillId="11" borderId="9" xfId="2" applyFont="1" applyFill="1" applyBorder="1" applyAlignment="1">
      <alignment vertical="center" wrapText="1"/>
    </xf>
    <xf numFmtId="2" fontId="8" fillId="4" borderId="9" xfId="0" applyNumberFormat="1" applyFont="1" applyFill="1" applyBorder="1" applyAlignment="1">
      <alignment vertical="center" wrapText="1"/>
    </xf>
    <xf numFmtId="0" fontId="8" fillId="4" borderId="9" xfId="0" applyFont="1" applyFill="1" applyBorder="1" applyAlignment="1">
      <alignment vertical="center" wrapText="1"/>
    </xf>
    <xf numFmtId="0" fontId="12" fillId="4" borderId="9" xfId="0" applyFont="1" applyFill="1" applyBorder="1" applyAlignment="1">
      <alignment vertical="center" wrapText="1"/>
    </xf>
    <xf numFmtId="2" fontId="8" fillId="7" borderId="9" xfId="0" applyNumberFormat="1" applyFont="1" applyFill="1" applyBorder="1" applyAlignment="1">
      <alignment vertical="center" wrapText="1"/>
    </xf>
    <xf numFmtId="0" fontId="8" fillId="3" borderId="6" xfId="0" applyFont="1" applyFill="1" applyBorder="1" applyAlignment="1">
      <alignment horizontal="left" vertical="center" wrapText="1"/>
    </xf>
    <xf numFmtId="4" fontId="8" fillId="0" borderId="6" xfId="0" applyNumberFormat="1" applyFont="1" applyBorder="1" applyAlignment="1">
      <alignment horizontal="left" vertical="center" wrapText="1"/>
    </xf>
    <xf numFmtId="0" fontId="8" fillId="0" borderId="6" xfId="0" applyFont="1" applyFill="1" applyBorder="1" applyAlignment="1">
      <alignment vertical="center" wrapText="1"/>
    </xf>
    <xf numFmtId="0" fontId="25" fillId="0" borderId="6" xfId="0" applyFont="1" applyBorder="1" applyAlignment="1">
      <alignment horizontal="left" vertical="center" wrapText="1"/>
    </xf>
    <xf numFmtId="0" fontId="25" fillId="0" borderId="6" xfId="0" applyFont="1" applyFill="1" applyBorder="1" applyAlignment="1">
      <alignment horizontal="left" vertical="center" wrapText="1"/>
    </xf>
    <xf numFmtId="0" fontId="13" fillId="0" borderId="0" xfId="0" applyFont="1" applyAlignment="1">
      <alignment vertical="center" wrapText="1"/>
    </xf>
    <xf numFmtId="0" fontId="25" fillId="0" borderId="6" xfId="0" applyFont="1" applyBorder="1" applyAlignment="1">
      <alignment vertical="center" wrapText="1"/>
    </xf>
    <xf numFmtId="0" fontId="12" fillId="2" borderId="3" xfId="0" applyFont="1" applyFill="1" applyBorder="1" applyAlignment="1">
      <alignment horizontal="center" vertical="center" wrapText="1"/>
    </xf>
    <xf numFmtId="0" fontId="11" fillId="0" borderId="6" xfId="0" applyFont="1" applyBorder="1" applyAlignment="1">
      <alignment wrapText="1"/>
    </xf>
    <xf numFmtId="2" fontId="12" fillId="4" borderId="6" xfId="0" applyNumberFormat="1" applyFont="1" applyFill="1" applyBorder="1" applyAlignment="1">
      <alignment horizontal="center" vertical="center" wrapText="1"/>
    </xf>
    <xf numFmtId="0" fontId="13" fillId="0" borderId="0" xfId="0" applyFont="1" applyAlignment="1">
      <alignment vertical="center"/>
    </xf>
    <xf numFmtId="0" fontId="12" fillId="12" borderId="6" xfId="0" applyFont="1" applyFill="1" applyBorder="1" applyAlignment="1">
      <alignment horizontal="center" vertical="center" wrapText="1"/>
    </xf>
    <xf numFmtId="2" fontId="12" fillId="7" borderId="6" xfId="0" applyNumberFormat="1" applyFont="1" applyFill="1" applyBorder="1" applyAlignment="1">
      <alignment horizontal="center" vertical="center" wrapText="1"/>
    </xf>
    <xf numFmtId="0" fontId="18" fillId="13" borderId="6" xfId="0" applyFont="1" applyFill="1" applyBorder="1" applyAlignment="1">
      <alignment horizontal="center" vertical="center" wrapText="1" readingOrder="1"/>
    </xf>
    <xf numFmtId="2" fontId="21" fillId="14" borderId="6" xfId="0" applyNumberFormat="1" applyFont="1" applyFill="1" applyBorder="1" applyAlignment="1">
      <alignment horizontal="center" vertical="center" wrapText="1" readingOrder="1"/>
    </xf>
    <xf numFmtId="2" fontId="21" fillId="15" borderId="6" xfId="0" applyNumberFormat="1" applyFont="1" applyFill="1" applyBorder="1" applyAlignment="1">
      <alignment horizontal="center" vertical="center" wrapText="1" readingOrder="1"/>
    </xf>
    <xf numFmtId="2" fontId="22" fillId="15" borderId="6" xfId="0" applyNumberFormat="1" applyFont="1" applyFill="1" applyBorder="1" applyAlignment="1">
      <alignment horizontal="center" vertical="center" wrapText="1" readingOrder="1"/>
    </xf>
    <xf numFmtId="0" fontId="0" fillId="0" borderId="0" xfId="0" applyFont="1" applyAlignment="1">
      <alignment horizontal="center" vertical="center" readingOrder="1"/>
    </xf>
    <xf numFmtId="0" fontId="12" fillId="2" borderId="9" xfId="0" applyFont="1" applyFill="1" applyBorder="1" applyAlignment="1">
      <alignment horizontal="center" vertical="center" wrapText="1"/>
    </xf>
    <xf numFmtId="0" fontId="8" fillId="0" borderId="9" xfId="0" applyFont="1" applyBorder="1"/>
    <xf numFmtId="0" fontId="12" fillId="0" borderId="0" xfId="0" applyFont="1" applyBorder="1" applyAlignment="1">
      <alignment horizontal="center" vertical="center" wrapText="1"/>
    </xf>
    <xf numFmtId="0" fontId="8" fillId="0" borderId="0" xfId="0" applyFont="1" applyBorder="1"/>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12" fillId="0" borderId="0" xfId="0" applyFont="1" applyAlignment="1">
      <alignment horizontal="left"/>
    </xf>
    <xf numFmtId="0" fontId="8" fillId="0" borderId="0" xfId="0" applyFont="1" applyAlignment="1"/>
    <xf numFmtId="0" fontId="12" fillId="0" borderId="9" xfId="0" applyFont="1" applyBorder="1" applyAlignment="1">
      <alignment horizontal="center" vertical="center" wrapText="1"/>
    </xf>
    <xf numFmtId="0" fontId="12" fillId="0" borderId="9" xfId="0" applyFont="1" applyBorder="1" applyAlignment="1">
      <alignment horizontal="center" vertical="center" textRotation="90" wrapText="1"/>
    </xf>
    <xf numFmtId="0" fontId="12" fillId="4" borderId="9" xfId="0" applyFont="1" applyFill="1" applyBorder="1" applyAlignment="1">
      <alignment horizontal="center" vertical="center" wrapText="1"/>
    </xf>
    <xf numFmtId="0" fontId="12" fillId="0" borderId="9" xfId="0" applyFont="1" applyBorder="1"/>
    <xf numFmtId="0" fontId="12" fillId="7" borderId="9" xfId="0" applyFont="1" applyFill="1" applyBorder="1" applyAlignment="1">
      <alignment horizontal="center" vertical="center" wrapText="1"/>
    </xf>
    <xf numFmtId="0" fontId="12" fillId="0" borderId="9" xfId="0" applyFont="1" applyBorder="1" applyAlignment="1">
      <alignment vertical="center"/>
    </xf>
    <xf numFmtId="0" fontId="12" fillId="2" borderId="9" xfId="0" applyFont="1" applyFill="1" applyBorder="1" applyAlignment="1">
      <alignment horizontal="center" wrapText="1"/>
    </xf>
    <xf numFmtId="0" fontId="12" fillId="3" borderId="0" xfId="0" applyFont="1" applyFill="1" applyBorder="1" applyAlignment="1">
      <alignment horizontal="center" wrapText="1"/>
    </xf>
    <xf numFmtId="0" fontId="12" fillId="0" borderId="9" xfId="0" applyFont="1" applyBorder="1" applyAlignment="1">
      <alignment horizontal="center" wrapText="1"/>
    </xf>
    <xf numFmtId="0" fontId="12" fillId="0" borderId="9" xfId="0" applyFont="1" applyBorder="1" applyAlignment="1">
      <alignment horizontal="center" textRotation="90" wrapText="1"/>
    </xf>
    <xf numFmtId="0" fontId="12" fillId="4" borderId="9" xfId="0" applyFont="1" applyFill="1" applyBorder="1" applyAlignment="1">
      <alignment horizontal="center" wrapText="1"/>
    </xf>
    <xf numFmtId="0" fontId="12" fillId="7" borderId="9" xfId="0" applyFont="1" applyFill="1" applyBorder="1" applyAlignment="1">
      <alignment horizontal="center" wrapText="1"/>
    </xf>
    <xf numFmtId="0" fontId="12" fillId="2" borderId="3" xfId="0" applyFont="1" applyFill="1" applyBorder="1" applyAlignment="1">
      <alignment horizontal="center" vertical="center" wrapText="1"/>
    </xf>
    <xf numFmtId="0" fontId="8" fillId="0" borderId="5" xfId="0" applyFont="1" applyBorder="1"/>
    <xf numFmtId="0" fontId="8" fillId="0" borderId="4" xfId="0" applyFont="1" applyBorder="1"/>
    <xf numFmtId="0" fontId="12" fillId="0" borderId="1" xfId="0" applyFont="1" applyBorder="1" applyAlignment="1">
      <alignment horizontal="center" vertical="center" wrapText="1"/>
    </xf>
    <xf numFmtId="0" fontId="8" fillId="0" borderId="1" xfId="0" applyFont="1" applyBorder="1"/>
    <xf numFmtId="0" fontId="8" fillId="2" borderId="2" xfId="0" applyFont="1" applyFill="1" applyBorder="1" applyAlignment="1">
      <alignment horizontal="center" vertical="center" wrapText="1"/>
    </xf>
    <xf numFmtId="0" fontId="8" fillId="0" borderId="7" xfId="0" applyFont="1" applyBorder="1" applyAlignment="1">
      <alignment horizontal="center" vertical="center"/>
    </xf>
    <xf numFmtId="0" fontId="12" fillId="2" borderId="2" xfId="0" applyFont="1" applyFill="1" applyBorder="1" applyAlignment="1">
      <alignment horizontal="center" vertical="center" wrapText="1"/>
    </xf>
    <xf numFmtId="0" fontId="8" fillId="0" borderId="7" xfId="0" applyFont="1" applyBorder="1"/>
    <xf numFmtId="0" fontId="12" fillId="0" borderId="2" xfId="0" applyFont="1" applyBorder="1" applyAlignment="1">
      <alignment horizontal="center" vertical="center" wrapText="1"/>
    </xf>
    <xf numFmtId="0" fontId="8" fillId="0" borderId="8" xfId="0" applyFont="1" applyBorder="1"/>
    <xf numFmtId="0" fontId="12" fillId="0" borderId="2" xfId="0" applyFont="1" applyBorder="1" applyAlignment="1">
      <alignment horizontal="center" vertical="center" textRotation="90" wrapText="1"/>
    </xf>
    <xf numFmtId="0" fontId="12" fillId="4"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7" borderId="3"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8" fillId="12" borderId="9" xfId="0" applyFont="1" applyFill="1" applyBorder="1"/>
    <xf numFmtId="0" fontId="12" fillId="0" borderId="9" xfId="0" applyFont="1" applyBorder="1" applyAlignment="1">
      <alignment horizontal="center" vertical="center"/>
    </xf>
    <xf numFmtId="0" fontId="2" fillId="0" borderId="0" xfId="0" applyFont="1" applyBorder="1" applyAlignment="1">
      <alignment horizontal="center" vertical="center" wrapText="1"/>
    </xf>
    <xf numFmtId="0" fontId="4" fillId="0" borderId="0" xfId="0" applyFont="1" applyBorder="1"/>
    <xf numFmtId="0" fontId="12" fillId="0" borderId="9" xfId="0" applyFont="1" applyBorder="1" applyAlignment="1">
      <alignment horizontal="center"/>
    </xf>
    <xf numFmtId="0" fontId="2" fillId="0" borderId="0" xfId="0" applyFont="1" applyAlignment="1">
      <alignment horizontal="left"/>
    </xf>
    <xf numFmtId="0" fontId="0" fillId="0" borderId="0" xfId="0" applyFont="1" applyAlignment="1"/>
    <xf numFmtId="0" fontId="12" fillId="0" borderId="7" xfId="0" applyFont="1" applyBorder="1" applyAlignment="1">
      <alignment vertical="center"/>
    </xf>
    <xf numFmtId="0" fontId="12" fillId="0" borderId="5" xfId="0" applyFont="1" applyBorder="1"/>
    <xf numFmtId="0" fontId="12" fillId="0" borderId="4" xfId="0" applyFont="1" applyBorder="1"/>
    <xf numFmtId="0" fontId="7" fillId="0" borderId="0" xfId="0" applyFont="1" applyBorder="1" applyAlignment="1">
      <alignment horizontal="center" vertical="center" wrapText="1"/>
    </xf>
    <xf numFmtId="0" fontId="12" fillId="2" borderId="10" xfId="0" applyFont="1" applyFill="1" applyBorder="1" applyAlignment="1">
      <alignment horizontal="center" vertical="center" wrapText="1"/>
    </xf>
    <xf numFmtId="0" fontId="12" fillId="0" borderId="11" xfId="0" applyFont="1" applyBorder="1" applyAlignment="1">
      <alignment horizontal="center"/>
    </xf>
    <xf numFmtId="0" fontId="12" fillId="0" borderId="7" xfId="0" applyFont="1" applyBorder="1" applyAlignment="1">
      <alignment vertical="center" wrapText="1"/>
    </xf>
    <xf numFmtId="0" fontId="12" fillId="0" borderId="2" xfId="0" applyFont="1" applyFill="1" applyBorder="1" applyAlignment="1">
      <alignment horizontal="center" vertical="center" wrapText="1"/>
    </xf>
    <xf numFmtId="0" fontId="8" fillId="0" borderId="8" xfId="0" applyFont="1" applyFill="1" applyBorder="1"/>
    <xf numFmtId="0" fontId="8" fillId="0" borderId="7" xfId="0" applyFont="1" applyFill="1" applyBorder="1"/>
    <xf numFmtId="0" fontId="12" fillId="12" borderId="3" xfId="0" applyFont="1" applyFill="1" applyBorder="1" applyAlignment="1">
      <alignment horizontal="center" vertical="center" wrapText="1"/>
    </xf>
    <xf numFmtId="0" fontId="12" fillId="12" borderId="5" xfId="0" applyFont="1" applyFill="1" applyBorder="1"/>
    <xf numFmtId="0" fontId="12" fillId="12" borderId="4" xfId="0" applyFont="1" applyFill="1" applyBorder="1"/>
    <xf numFmtId="0" fontId="13" fillId="0" borderId="0" xfId="0" applyFont="1" applyAlignment="1"/>
  </cellXfs>
  <cellStyles count="3">
    <cellStyle name="Comma" xfId="1" builtinId="3"/>
    <cellStyle name="Normal" xfId="0" builtinId="0"/>
    <cellStyle name="Normal 10"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Y972"/>
  <sheetViews>
    <sheetView workbookViewId="0">
      <pane xSplit="4" ySplit="5" topLeftCell="E203" activePane="bottomRight" state="frozen"/>
      <selection pane="topRight" activeCell="E1" sqref="E1"/>
      <selection pane="bottomLeft" activeCell="A6" sqref="A6"/>
      <selection pane="bottomRight" activeCell="Y203" sqref="Y203"/>
    </sheetView>
  </sheetViews>
  <sheetFormatPr defaultColWidth="14.42578125" defaultRowHeight="15" customHeight="1"/>
  <cols>
    <col min="1" max="1" width="5.28515625" style="111" customWidth="1"/>
    <col min="2" max="2" width="7" style="111" customWidth="1"/>
    <col min="3" max="3" width="9.42578125" style="111" customWidth="1"/>
    <col min="4" max="4" width="6.42578125" style="111" customWidth="1"/>
    <col min="5" max="5" width="26.140625" style="111" customWidth="1"/>
    <col min="6" max="6" width="10.85546875" style="111" customWidth="1"/>
    <col min="7" max="7" width="10.5703125" style="111" hidden="1" customWidth="1"/>
    <col min="8" max="8" width="9.42578125" style="111" customWidth="1"/>
    <col min="9" max="9" width="8.5703125" style="111" customWidth="1"/>
    <col min="10" max="10" width="9.7109375" style="111" customWidth="1"/>
    <col min="11" max="11" width="7.28515625" style="111" hidden="1" customWidth="1"/>
    <col min="12" max="12" width="11.5703125" style="111" customWidth="1"/>
    <col min="13" max="13" width="8.5703125" style="111" hidden="1" customWidth="1"/>
    <col min="14" max="14" width="12.7109375" style="111" hidden="1" customWidth="1"/>
    <col min="15" max="15" width="10.140625" style="111" customWidth="1"/>
    <col min="16" max="16" width="9.28515625" style="111" customWidth="1"/>
    <col min="17" max="17" width="10.5703125" style="111" hidden="1" customWidth="1"/>
    <col min="18" max="18" width="10.85546875" style="111" customWidth="1"/>
    <col min="19" max="19" width="15.140625" style="111" hidden="1" customWidth="1"/>
    <col min="20" max="20" width="11.28515625" style="111" customWidth="1"/>
    <col min="21" max="21" width="10.42578125" style="111" hidden="1" customWidth="1"/>
    <col min="22" max="22" width="9.85546875" style="111" customWidth="1"/>
    <col min="23" max="23" width="13.140625" style="111" hidden="1" customWidth="1"/>
    <col min="24" max="24" width="10" style="111" customWidth="1"/>
    <col min="25" max="25" width="48.42578125" style="179"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8"/>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8"/>
    </row>
    <row r="3" spans="1:25" ht="22.5" customHeight="1">
      <c r="A3" s="38"/>
      <c r="B3" s="112"/>
      <c r="C3" s="112"/>
      <c r="D3" s="112"/>
      <c r="E3" s="112" t="s">
        <v>1</v>
      </c>
      <c r="F3" s="112"/>
      <c r="G3" s="112"/>
      <c r="H3" s="112"/>
      <c r="I3" s="112"/>
      <c r="J3" s="112"/>
      <c r="K3" s="112"/>
      <c r="L3" s="112"/>
      <c r="M3" s="112"/>
      <c r="N3" s="112"/>
      <c r="O3" s="112"/>
      <c r="P3" s="112"/>
      <c r="Q3" s="112"/>
      <c r="R3" s="112"/>
      <c r="S3" s="112"/>
      <c r="T3" s="112"/>
      <c r="U3" s="112"/>
      <c r="V3" s="112"/>
      <c r="W3" s="113"/>
      <c r="X3" s="470" t="s">
        <v>2</v>
      </c>
      <c r="Y3" s="471"/>
    </row>
    <row r="4" spans="1:25" ht="99"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72" t="s">
        <v>16</v>
      </c>
    </row>
    <row r="5" spans="1:25" ht="82.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73"/>
    </row>
    <row r="6" spans="1:25" ht="47.25">
      <c r="A6" s="477" t="s">
        <v>24</v>
      </c>
      <c r="B6" s="476" t="s">
        <v>25</v>
      </c>
      <c r="C6" s="476" t="s">
        <v>26</v>
      </c>
      <c r="D6" s="106">
        <v>1</v>
      </c>
      <c r="E6" s="115" t="s">
        <v>27</v>
      </c>
      <c r="F6" s="116"/>
      <c r="G6" s="116"/>
      <c r="H6" s="116"/>
      <c r="I6" s="116"/>
      <c r="J6" s="116">
        <f t="shared" ref="J6:J67" si="0">H6+I6</f>
        <v>0</v>
      </c>
      <c r="K6" s="116"/>
      <c r="L6" s="116"/>
      <c r="M6" s="116"/>
      <c r="N6" s="116"/>
      <c r="O6" s="116"/>
      <c r="P6" s="116">
        <f t="shared" ref="P6:P25" si="1">N6+O6</f>
        <v>0</v>
      </c>
      <c r="Q6" s="116"/>
      <c r="R6" s="116"/>
      <c r="S6" s="116"/>
      <c r="T6" s="116"/>
      <c r="U6" s="116"/>
      <c r="V6" s="116"/>
      <c r="W6" s="117"/>
      <c r="X6" s="117">
        <f t="shared" ref="X6:X217" si="2">F6+J6+L6+P6+R6+T6+V6</f>
        <v>0</v>
      </c>
      <c r="Y6" s="98"/>
    </row>
    <row r="7" spans="1:25" ht="47.25">
      <c r="A7" s="469"/>
      <c r="B7" s="469"/>
      <c r="C7" s="469"/>
      <c r="D7" s="106">
        <v>2</v>
      </c>
      <c r="E7" s="115" t="s">
        <v>28</v>
      </c>
      <c r="F7" s="116"/>
      <c r="G7" s="116"/>
      <c r="H7" s="116"/>
      <c r="I7" s="116"/>
      <c r="J7" s="116">
        <f t="shared" si="0"/>
        <v>0</v>
      </c>
      <c r="K7" s="116"/>
      <c r="L7" s="116"/>
      <c r="M7" s="116"/>
      <c r="N7" s="118"/>
      <c r="O7" s="119"/>
      <c r="P7" s="117">
        <f t="shared" si="1"/>
        <v>0</v>
      </c>
      <c r="Q7" s="120"/>
      <c r="R7" s="120"/>
      <c r="S7" s="121"/>
      <c r="T7" s="121"/>
      <c r="U7" s="116"/>
      <c r="V7" s="116"/>
      <c r="W7" s="117"/>
      <c r="X7" s="117">
        <f t="shared" si="2"/>
        <v>0</v>
      </c>
      <c r="Y7" s="98"/>
    </row>
    <row r="8" spans="1:25" ht="140.25" customHeight="1">
      <c r="A8" s="469"/>
      <c r="B8" s="469"/>
      <c r="C8" s="469"/>
      <c r="D8" s="106">
        <v>3</v>
      </c>
      <c r="E8" s="106" t="s">
        <v>29</v>
      </c>
      <c r="F8" s="121">
        <v>92.711830000000006</v>
      </c>
      <c r="G8" s="120"/>
      <c r="H8" s="120"/>
      <c r="I8" s="120"/>
      <c r="J8" s="116">
        <f t="shared" si="0"/>
        <v>0</v>
      </c>
      <c r="K8" s="120"/>
      <c r="L8" s="120"/>
      <c r="M8" s="120"/>
      <c r="N8" s="120"/>
      <c r="O8" s="120"/>
      <c r="P8" s="116">
        <f t="shared" si="1"/>
        <v>0</v>
      </c>
      <c r="Q8" s="120"/>
      <c r="R8" s="120"/>
      <c r="S8" s="120"/>
      <c r="T8" s="120"/>
      <c r="U8" s="116"/>
      <c r="V8" s="116"/>
      <c r="W8" s="117"/>
      <c r="X8" s="117">
        <f t="shared" si="2"/>
        <v>92.711830000000006</v>
      </c>
      <c r="Y8" s="98" t="s">
        <v>824</v>
      </c>
    </row>
    <row r="9" spans="1:25" ht="378">
      <c r="A9" s="469"/>
      <c r="B9" s="469"/>
      <c r="C9" s="469"/>
      <c r="D9" s="106">
        <v>4</v>
      </c>
      <c r="E9" s="106" t="s">
        <v>30</v>
      </c>
      <c r="F9" s="116"/>
      <c r="G9" s="116"/>
      <c r="H9" s="116"/>
      <c r="I9" s="116"/>
      <c r="J9" s="116">
        <f t="shared" si="0"/>
        <v>0</v>
      </c>
      <c r="K9" s="116"/>
      <c r="L9" s="116"/>
      <c r="M9" s="116"/>
      <c r="N9" s="116"/>
      <c r="O9" s="117">
        <v>122.87649999999999</v>
      </c>
      <c r="P9" s="117">
        <f t="shared" si="1"/>
        <v>122.87649999999999</v>
      </c>
      <c r="Q9" s="122"/>
      <c r="R9" s="123">
        <v>75.701999999999998</v>
      </c>
      <c r="S9" s="121"/>
      <c r="T9" s="121">
        <v>166.6962</v>
      </c>
      <c r="U9" s="120"/>
      <c r="V9" s="120"/>
      <c r="W9" s="117"/>
      <c r="X9" s="117">
        <f t="shared" si="2"/>
        <v>365.2747</v>
      </c>
      <c r="Y9" s="98" t="s">
        <v>825</v>
      </c>
    </row>
    <row r="10" spans="1:25" ht="113.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95.753</v>
      </c>
      <c r="U10" s="120"/>
      <c r="V10" s="120"/>
      <c r="W10" s="117"/>
      <c r="X10" s="117">
        <f t="shared" si="2"/>
        <v>95.753</v>
      </c>
      <c r="Y10" s="98" t="s">
        <v>826</v>
      </c>
    </row>
    <row r="11" spans="1:25" ht="182.25" customHeight="1">
      <c r="A11" s="469"/>
      <c r="B11" s="469"/>
      <c r="C11" s="469"/>
      <c r="D11" s="106">
        <v>6</v>
      </c>
      <c r="E11" s="106" t="s">
        <v>32</v>
      </c>
      <c r="F11" s="120">
        <v>0.98</v>
      </c>
      <c r="G11" s="120"/>
      <c r="H11" s="120"/>
      <c r="I11" s="120"/>
      <c r="J11" s="116">
        <f t="shared" si="0"/>
        <v>0</v>
      </c>
      <c r="K11" s="120"/>
      <c r="L11" s="120"/>
      <c r="M11" s="120"/>
      <c r="N11" s="120"/>
      <c r="O11" s="120"/>
      <c r="P11" s="116">
        <f t="shared" si="1"/>
        <v>0</v>
      </c>
      <c r="Q11" s="120"/>
      <c r="R11" s="120"/>
      <c r="S11" s="121"/>
      <c r="T11" s="124">
        <v>0.8</v>
      </c>
      <c r="U11" s="120"/>
      <c r="V11" s="120"/>
      <c r="W11" s="117"/>
      <c r="X11" s="117">
        <f t="shared" si="2"/>
        <v>1.78</v>
      </c>
      <c r="Y11" s="98" t="s">
        <v>827</v>
      </c>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8"/>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8"/>
    </row>
    <row r="14" spans="1:25" ht="47.25">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7.0000000000000007E-2</v>
      </c>
      <c r="U14" s="121"/>
      <c r="V14" s="121"/>
      <c r="W14" s="117"/>
      <c r="X14" s="117">
        <f t="shared" si="2"/>
        <v>7.0000000000000007E-2</v>
      </c>
      <c r="Y14" s="98" t="s">
        <v>818</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8"/>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8"/>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8"/>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8"/>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8"/>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8"/>
    </row>
    <row r="21" spans="1:25" ht="36.75"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8"/>
    </row>
    <row r="22" spans="1:25" ht="15.7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8"/>
    </row>
    <row r="23" spans="1:25" ht="31.5">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8"/>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8"/>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8"/>
    </row>
    <row r="26" spans="1:25" ht="85.5" customHeight="1">
      <c r="A26" s="469"/>
      <c r="B26" s="476" t="s">
        <v>48</v>
      </c>
      <c r="C26" s="476" t="s">
        <v>49</v>
      </c>
      <c r="D26" s="106">
        <v>21</v>
      </c>
      <c r="E26" s="106" t="s">
        <v>50</v>
      </c>
      <c r="F26" s="120"/>
      <c r="G26" s="120"/>
      <c r="H26" s="120"/>
      <c r="I26" s="121"/>
      <c r="J26" s="125">
        <f t="shared" si="0"/>
        <v>0</v>
      </c>
      <c r="K26" s="122"/>
      <c r="L26" s="127"/>
      <c r="M26" s="127"/>
      <c r="N26" s="120"/>
      <c r="O26" s="122"/>
      <c r="P26" s="116"/>
      <c r="Q26" s="120"/>
      <c r="R26" s="120"/>
      <c r="S26" s="121"/>
      <c r="T26" s="121">
        <v>21.611999999999998</v>
      </c>
      <c r="U26" s="128"/>
      <c r="V26" s="120"/>
      <c r="W26" s="117"/>
      <c r="X26" s="117">
        <f t="shared" si="2"/>
        <v>21.611999999999998</v>
      </c>
      <c r="Y26" s="98" t="s">
        <v>51</v>
      </c>
    </row>
    <row r="27" spans="1:25" ht="193.5" customHeight="1">
      <c r="A27" s="469"/>
      <c r="B27" s="469"/>
      <c r="C27" s="469"/>
      <c r="D27" s="106">
        <v>22</v>
      </c>
      <c r="E27" s="106" t="s">
        <v>52</v>
      </c>
      <c r="F27" s="121"/>
      <c r="G27" s="120"/>
      <c r="H27" s="120"/>
      <c r="I27" s="121"/>
      <c r="J27" s="125">
        <f t="shared" si="0"/>
        <v>0</v>
      </c>
      <c r="K27" s="129"/>
      <c r="L27" s="122">
        <v>2.6150000000000002</v>
      </c>
      <c r="M27" s="115"/>
      <c r="N27" s="120"/>
      <c r="O27" s="120"/>
      <c r="P27" s="116">
        <f t="shared" ref="P27:P67" si="3">N27+O27</f>
        <v>0</v>
      </c>
      <c r="Q27" s="121"/>
      <c r="R27" s="121">
        <v>1</v>
      </c>
      <c r="S27" s="125"/>
      <c r="T27" s="121">
        <v>176.7287</v>
      </c>
      <c r="U27" s="115"/>
      <c r="V27" s="120"/>
      <c r="W27" s="117"/>
      <c r="X27" s="117">
        <f t="shared" si="2"/>
        <v>180.34370000000001</v>
      </c>
      <c r="Y27" s="98" t="s">
        <v>716</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3"/>
        <v>0</v>
      </c>
      <c r="Q28" s="120"/>
      <c r="R28" s="120"/>
      <c r="S28" s="120"/>
      <c r="T28" s="120">
        <v>0</v>
      </c>
      <c r="U28" s="120"/>
      <c r="V28" s="120"/>
      <c r="W28" s="117"/>
      <c r="X28" s="117">
        <f t="shared" si="2"/>
        <v>0</v>
      </c>
      <c r="Y28" s="98"/>
    </row>
    <row r="29" spans="1:25" ht="204.75">
      <c r="A29" s="469"/>
      <c r="B29" s="469"/>
      <c r="C29" s="469"/>
      <c r="D29" s="106">
        <v>24</v>
      </c>
      <c r="E29" s="106" t="s">
        <v>56</v>
      </c>
      <c r="F29" s="120"/>
      <c r="G29" s="120"/>
      <c r="H29" s="120"/>
      <c r="I29" s="121"/>
      <c r="J29" s="125">
        <f t="shared" si="0"/>
        <v>0</v>
      </c>
      <c r="K29" s="120"/>
      <c r="L29" s="120"/>
      <c r="M29" s="120"/>
      <c r="N29" s="120"/>
      <c r="O29" s="120"/>
      <c r="P29" s="116">
        <f t="shared" si="3"/>
        <v>0</v>
      </c>
      <c r="Q29" s="120"/>
      <c r="R29" s="120"/>
      <c r="S29" s="120"/>
      <c r="T29" s="120">
        <v>6.8</v>
      </c>
      <c r="U29" s="128"/>
      <c r="V29" s="120"/>
      <c r="W29" s="117"/>
      <c r="X29" s="117">
        <f t="shared" si="2"/>
        <v>6.8</v>
      </c>
      <c r="Y29" s="98" t="s">
        <v>717</v>
      </c>
    </row>
    <row r="30" spans="1:25" ht="409.5">
      <c r="A30" s="469"/>
      <c r="B30" s="469"/>
      <c r="C30" s="469"/>
      <c r="D30" s="106">
        <v>25</v>
      </c>
      <c r="E30" s="106" t="s">
        <v>57</v>
      </c>
      <c r="F30" s="120"/>
      <c r="G30" s="120"/>
      <c r="H30" s="120"/>
      <c r="I30" s="120"/>
      <c r="J30" s="116">
        <f t="shared" si="0"/>
        <v>0</v>
      </c>
      <c r="K30" s="120"/>
      <c r="L30" s="120"/>
      <c r="M30" s="120"/>
      <c r="N30" s="120"/>
      <c r="O30" s="120"/>
      <c r="P30" s="116">
        <f t="shared" si="3"/>
        <v>0</v>
      </c>
      <c r="Q30" s="120"/>
      <c r="R30" s="120"/>
      <c r="S30" s="120"/>
      <c r="T30" s="120">
        <v>0.6</v>
      </c>
      <c r="U30" s="115"/>
      <c r="V30" s="120"/>
      <c r="W30" s="117"/>
      <c r="X30" s="117">
        <f t="shared" si="2"/>
        <v>0.6</v>
      </c>
      <c r="Y30" s="98" t="s">
        <v>718</v>
      </c>
    </row>
    <row r="31" spans="1:25" ht="15.75">
      <c r="A31" s="469"/>
      <c r="B31" s="469"/>
      <c r="C31" s="469"/>
      <c r="D31" s="106">
        <v>26</v>
      </c>
      <c r="E31" s="106" t="s">
        <v>58</v>
      </c>
      <c r="F31" s="120"/>
      <c r="G31" s="120"/>
      <c r="H31" s="120"/>
      <c r="I31" s="120"/>
      <c r="J31" s="116">
        <f t="shared" si="0"/>
        <v>0</v>
      </c>
      <c r="K31" s="122"/>
      <c r="L31" s="122"/>
      <c r="M31" s="120"/>
      <c r="N31" s="120"/>
      <c r="O31" s="120"/>
      <c r="P31" s="116">
        <f t="shared" si="3"/>
        <v>0</v>
      </c>
      <c r="Q31" s="120"/>
      <c r="R31" s="120"/>
      <c r="S31" s="120"/>
      <c r="T31" s="120"/>
      <c r="U31" s="120"/>
      <c r="V31" s="120"/>
      <c r="W31" s="117"/>
      <c r="X31" s="117">
        <f t="shared" si="2"/>
        <v>0</v>
      </c>
      <c r="Y31" s="98"/>
    </row>
    <row r="32" spans="1:25" ht="31.5">
      <c r="A32" s="469"/>
      <c r="B32" s="469"/>
      <c r="C32" s="469"/>
      <c r="D32" s="106">
        <v>27</v>
      </c>
      <c r="E32" s="106" t="s">
        <v>59</v>
      </c>
      <c r="F32" s="120"/>
      <c r="G32" s="120"/>
      <c r="H32" s="120"/>
      <c r="I32" s="121"/>
      <c r="J32" s="125">
        <f t="shared" si="0"/>
        <v>0</v>
      </c>
      <c r="K32" s="122"/>
      <c r="L32" s="122"/>
      <c r="M32" s="120"/>
      <c r="N32" s="120"/>
      <c r="O32" s="120"/>
      <c r="P32" s="116">
        <f t="shared" si="3"/>
        <v>0</v>
      </c>
      <c r="Q32" s="120"/>
      <c r="R32" s="120"/>
      <c r="S32" s="130"/>
      <c r="T32" s="130">
        <v>3</v>
      </c>
      <c r="U32" s="131"/>
      <c r="V32" s="120"/>
      <c r="W32" s="117"/>
      <c r="X32" s="117">
        <f t="shared" si="2"/>
        <v>3</v>
      </c>
      <c r="Y32" s="98" t="s">
        <v>793</v>
      </c>
    </row>
    <row r="33" spans="1:25" ht="56.25" customHeight="1">
      <c r="A33" s="469"/>
      <c r="B33" s="469"/>
      <c r="C33" s="469"/>
      <c r="D33" s="106">
        <v>28</v>
      </c>
      <c r="E33" s="106" t="s">
        <v>30</v>
      </c>
      <c r="F33" s="120"/>
      <c r="G33" s="120"/>
      <c r="H33" s="120"/>
      <c r="I33" s="120"/>
      <c r="J33" s="116">
        <f t="shared" si="0"/>
        <v>0</v>
      </c>
      <c r="K33" s="120"/>
      <c r="L33" s="120"/>
      <c r="M33" s="120"/>
      <c r="N33" s="120"/>
      <c r="O33" s="122">
        <v>8.9087999999999994</v>
      </c>
      <c r="P33" s="117">
        <f t="shared" si="3"/>
        <v>8.9087999999999994</v>
      </c>
      <c r="Q33" s="132"/>
      <c r="R33" s="122">
        <v>8.9087999999999994</v>
      </c>
      <c r="S33" s="97"/>
      <c r="T33" s="120">
        <v>0</v>
      </c>
      <c r="U33" s="120"/>
      <c r="V33" s="120"/>
      <c r="W33" s="117"/>
      <c r="X33" s="117">
        <f t="shared" si="2"/>
        <v>17.817599999999999</v>
      </c>
      <c r="Y33" s="98" t="s">
        <v>719</v>
      </c>
    </row>
    <row r="34" spans="1:25" ht="66.75" customHeight="1">
      <c r="A34" s="469"/>
      <c r="B34" s="469"/>
      <c r="C34" s="469"/>
      <c r="D34" s="106">
        <v>29</v>
      </c>
      <c r="E34" s="106" t="s">
        <v>31</v>
      </c>
      <c r="F34" s="120"/>
      <c r="G34" s="120"/>
      <c r="H34" s="120"/>
      <c r="I34" s="120"/>
      <c r="J34" s="116">
        <f t="shared" si="0"/>
        <v>0</v>
      </c>
      <c r="K34" s="120"/>
      <c r="L34" s="120"/>
      <c r="M34" s="120"/>
      <c r="N34" s="120"/>
      <c r="O34" s="120"/>
      <c r="P34" s="116">
        <f t="shared" si="3"/>
        <v>0</v>
      </c>
      <c r="Q34" s="120"/>
      <c r="R34" s="120"/>
      <c r="S34" s="122"/>
      <c r="T34" s="133">
        <v>31.180799999999994</v>
      </c>
      <c r="U34" s="97"/>
      <c r="V34" s="120"/>
      <c r="W34" s="117"/>
      <c r="X34" s="117">
        <f t="shared" si="2"/>
        <v>31.180799999999994</v>
      </c>
      <c r="Y34" s="98" t="s">
        <v>720</v>
      </c>
    </row>
    <row r="35" spans="1:25" ht="31.5">
      <c r="A35" s="469"/>
      <c r="B35" s="469"/>
      <c r="C35" s="469"/>
      <c r="D35" s="106">
        <v>30</v>
      </c>
      <c r="E35" s="106" t="s">
        <v>60</v>
      </c>
      <c r="F35" s="120"/>
      <c r="G35" s="120"/>
      <c r="H35" s="120"/>
      <c r="I35" s="120"/>
      <c r="J35" s="116">
        <f t="shared" si="0"/>
        <v>0</v>
      </c>
      <c r="K35" s="122"/>
      <c r="L35" s="122"/>
      <c r="M35" s="120"/>
      <c r="N35" s="120"/>
      <c r="O35" s="120"/>
      <c r="P35" s="116">
        <f t="shared" si="3"/>
        <v>0</v>
      </c>
      <c r="Q35" s="120"/>
      <c r="R35" s="120"/>
      <c r="S35" s="120"/>
      <c r="T35" s="120"/>
      <c r="U35" s="120"/>
      <c r="V35" s="120"/>
      <c r="W35" s="117"/>
      <c r="X35" s="117">
        <f t="shared" si="2"/>
        <v>0</v>
      </c>
      <c r="Y35" s="98"/>
    </row>
    <row r="36" spans="1:25" ht="31.5">
      <c r="A36" s="469"/>
      <c r="B36" s="469"/>
      <c r="C36" s="469"/>
      <c r="D36" s="106">
        <v>31</v>
      </c>
      <c r="E36" s="106" t="s">
        <v>44</v>
      </c>
      <c r="F36" s="120"/>
      <c r="G36" s="120"/>
      <c r="H36" s="120"/>
      <c r="I36" s="120"/>
      <c r="J36" s="116">
        <f t="shared" si="0"/>
        <v>0</v>
      </c>
      <c r="K36" s="120"/>
      <c r="L36" s="120"/>
      <c r="M36" s="120"/>
      <c r="N36" s="120"/>
      <c r="O36" s="120"/>
      <c r="P36" s="116">
        <f t="shared" si="3"/>
        <v>0</v>
      </c>
      <c r="Q36" s="120"/>
      <c r="R36" s="120"/>
      <c r="S36" s="120"/>
      <c r="T36" s="120"/>
      <c r="U36" s="120"/>
      <c r="V36" s="120"/>
      <c r="W36" s="117"/>
      <c r="X36" s="117">
        <f t="shared" si="2"/>
        <v>0</v>
      </c>
      <c r="Y36" s="98"/>
    </row>
    <row r="37" spans="1:25" ht="405" customHeight="1">
      <c r="A37" s="469"/>
      <c r="B37" s="476" t="s">
        <v>61</v>
      </c>
      <c r="C37" s="476" t="s">
        <v>62</v>
      </c>
      <c r="D37" s="106">
        <v>32</v>
      </c>
      <c r="E37" s="106" t="s">
        <v>63</v>
      </c>
      <c r="F37" s="120"/>
      <c r="G37" s="120"/>
      <c r="H37" s="120"/>
      <c r="I37" s="120"/>
      <c r="J37" s="116">
        <f t="shared" si="0"/>
        <v>0</v>
      </c>
      <c r="K37" s="122"/>
      <c r="L37" s="122"/>
      <c r="M37" s="120"/>
      <c r="N37" s="120"/>
      <c r="O37" s="120"/>
      <c r="P37" s="116">
        <f t="shared" si="3"/>
        <v>0</v>
      </c>
      <c r="Q37" s="122"/>
      <c r="R37" s="122"/>
      <c r="S37" s="121"/>
      <c r="T37" s="121">
        <v>18.723700000000001</v>
      </c>
      <c r="U37" s="134"/>
      <c r="V37" s="122"/>
      <c r="W37" s="117"/>
      <c r="X37" s="117">
        <f t="shared" si="2"/>
        <v>18.723700000000001</v>
      </c>
      <c r="Y37" s="98" t="s">
        <v>1163</v>
      </c>
    </row>
    <row r="38" spans="1:25" ht="35.25" customHeight="1">
      <c r="A38" s="469"/>
      <c r="B38" s="469"/>
      <c r="C38" s="469"/>
      <c r="D38" s="106">
        <v>33</v>
      </c>
      <c r="E38" s="106" t="s">
        <v>64</v>
      </c>
      <c r="F38" s="116"/>
      <c r="G38" s="116"/>
      <c r="H38" s="116"/>
      <c r="I38" s="116"/>
      <c r="J38" s="116">
        <f t="shared" si="0"/>
        <v>0</v>
      </c>
      <c r="K38" s="116"/>
      <c r="L38" s="116"/>
      <c r="M38" s="116"/>
      <c r="N38" s="116"/>
      <c r="O38" s="116"/>
      <c r="P38" s="116">
        <f t="shared" si="3"/>
        <v>0</v>
      </c>
      <c r="Q38" s="116"/>
      <c r="R38" s="116"/>
      <c r="S38" s="116"/>
      <c r="T38" s="116"/>
      <c r="U38" s="116"/>
      <c r="V38" s="116"/>
      <c r="W38" s="117"/>
      <c r="X38" s="117">
        <f t="shared" si="2"/>
        <v>0</v>
      </c>
      <c r="Y38" s="98"/>
    </row>
    <row r="39" spans="1:25" ht="39.75" customHeight="1">
      <c r="A39" s="469"/>
      <c r="B39" s="469"/>
      <c r="C39" s="469"/>
      <c r="D39" s="106">
        <v>34</v>
      </c>
      <c r="E39" s="106" t="s">
        <v>65</v>
      </c>
      <c r="F39" s="116"/>
      <c r="G39" s="116"/>
      <c r="H39" s="116"/>
      <c r="I39" s="116"/>
      <c r="J39" s="116">
        <f t="shared" si="0"/>
        <v>0</v>
      </c>
      <c r="K39" s="116"/>
      <c r="L39" s="116"/>
      <c r="M39" s="116"/>
      <c r="N39" s="116"/>
      <c r="O39" s="116"/>
      <c r="P39" s="116">
        <f t="shared" si="3"/>
        <v>0</v>
      </c>
      <c r="Q39" s="116"/>
      <c r="R39" s="116"/>
      <c r="S39" s="125"/>
      <c r="T39" s="125"/>
      <c r="U39" s="116"/>
      <c r="V39" s="116"/>
      <c r="W39" s="117"/>
      <c r="X39" s="117">
        <f t="shared" si="2"/>
        <v>0</v>
      </c>
      <c r="Y39" s="98"/>
    </row>
    <row r="40" spans="1:25" ht="173.25">
      <c r="A40" s="469"/>
      <c r="B40" s="476" t="s">
        <v>66</v>
      </c>
      <c r="C40" s="476" t="s">
        <v>67</v>
      </c>
      <c r="D40" s="106">
        <v>35</v>
      </c>
      <c r="E40" s="106" t="s">
        <v>68</v>
      </c>
      <c r="F40" s="116"/>
      <c r="G40" s="116"/>
      <c r="H40" s="116"/>
      <c r="I40" s="116"/>
      <c r="J40" s="116">
        <f t="shared" si="0"/>
        <v>0</v>
      </c>
      <c r="K40" s="117"/>
      <c r="L40" s="117"/>
      <c r="M40" s="116"/>
      <c r="N40" s="116"/>
      <c r="O40" s="116"/>
      <c r="P40" s="116">
        <f t="shared" si="3"/>
        <v>0</v>
      </c>
      <c r="Q40" s="116"/>
      <c r="R40" s="116"/>
      <c r="S40" s="125"/>
      <c r="T40" s="125">
        <f>0.48+0.77+0.12</f>
        <v>1.37</v>
      </c>
      <c r="U40" s="116"/>
      <c r="V40" s="116"/>
      <c r="W40" s="117"/>
      <c r="X40" s="117">
        <f t="shared" si="2"/>
        <v>1.37</v>
      </c>
      <c r="Y40" s="98" t="s">
        <v>69</v>
      </c>
    </row>
    <row r="41" spans="1:25" ht="31.5">
      <c r="A41" s="469"/>
      <c r="B41" s="469"/>
      <c r="C41" s="469"/>
      <c r="D41" s="106">
        <v>36</v>
      </c>
      <c r="E41" s="106" t="s">
        <v>70</v>
      </c>
      <c r="F41" s="116"/>
      <c r="G41" s="116"/>
      <c r="H41" s="116"/>
      <c r="I41" s="116"/>
      <c r="J41" s="116">
        <f t="shared" si="0"/>
        <v>0</v>
      </c>
      <c r="K41" s="116"/>
      <c r="L41" s="116"/>
      <c r="M41" s="116"/>
      <c r="N41" s="116"/>
      <c r="O41" s="117"/>
      <c r="P41" s="117">
        <f t="shared" si="3"/>
        <v>0</v>
      </c>
      <c r="Q41" s="116"/>
      <c r="R41" s="116"/>
      <c r="S41" s="116"/>
      <c r="T41" s="116"/>
      <c r="U41" s="116"/>
      <c r="V41" s="116"/>
      <c r="W41" s="117"/>
      <c r="X41" s="117">
        <f t="shared" si="2"/>
        <v>0</v>
      </c>
      <c r="Y41" s="98"/>
    </row>
    <row r="42" spans="1:25" ht="31.5">
      <c r="A42" s="469"/>
      <c r="B42" s="469"/>
      <c r="C42" s="469"/>
      <c r="D42" s="106">
        <v>37</v>
      </c>
      <c r="E42" s="106" t="s">
        <v>71</v>
      </c>
      <c r="F42" s="116"/>
      <c r="G42" s="116"/>
      <c r="H42" s="116"/>
      <c r="I42" s="116"/>
      <c r="J42" s="116">
        <f t="shared" si="0"/>
        <v>0</v>
      </c>
      <c r="K42" s="116"/>
      <c r="L42" s="116"/>
      <c r="M42" s="116"/>
      <c r="N42" s="116"/>
      <c r="O42" s="117"/>
      <c r="P42" s="117">
        <f t="shared" si="3"/>
        <v>0</v>
      </c>
      <c r="Q42" s="116"/>
      <c r="R42" s="116"/>
      <c r="S42" s="116"/>
      <c r="T42" s="116"/>
      <c r="U42" s="116"/>
      <c r="V42" s="116"/>
      <c r="W42" s="117"/>
      <c r="X42" s="117">
        <f t="shared" si="2"/>
        <v>0</v>
      </c>
      <c r="Y42" s="98"/>
    </row>
    <row r="43" spans="1:25" ht="110.25">
      <c r="A43" s="469"/>
      <c r="B43" s="469"/>
      <c r="C43" s="469"/>
      <c r="D43" s="106">
        <v>38</v>
      </c>
      <c r="E43" s="106" t="s">
        <v>72</v>
      </c>
      <c r="F43" s="116"/>
      <c r="G43" s="116"/>
      <c r="H43" s="116"/>
      <c r="I43" s="116"/>
      <c r="J43" s="116">
        <f t="shared" si="0"/>
        <v>0</v>
      </c>
      <c r="K43" s="116"/>
      <c r="L43" s="116"/>
      <c r="M43" s="116"/>
      <c r="N43" s="116"/>
      <c r="O43" s="116"/>
      <c r="P43" s="116">
        <f t="shared" si="3"/>
        <v>0</v>
      </c>
      <c r="Q43" s="116"/>
      <c r="R43" s="116"/>
      <c r="S43" s="125"/>
      <c r="T43" s="125">
        <f>1.2+0.4</f>
        <v>1.6</v>
      </c>
      <c r="U43" s="116"/>
      <c r="V43" s="116"/>
      <c r="W43" s="117"/>
      <c r="X43" s="117">
        <f t="shared" si="2"/>
        <v>1.6</v>
      </c>
      <c r="Y43" s="98" t="s">
        <v>73</v>
      </c>
    </row>
    <row r="44" spans="1:25" ht="47.25">
      <c r="A44" s="469"/>
      <c r="B44" s="469"/>
      <c r="C44" s="469"/>
      <c r="D44" s="106">
        <v>39</v>
      </c>
      <c r="E44" s="106" t="s">
        <v>74</v>
      </c>
      <c r="F44" s="116"/>
      <c r="G44" s="116"/>
      <c r="H44" s="116"/>
      <c r="I44" s="116"/>
      <c r="J44" s="116">
        <f t="shared" si="0"/>
        <v>0</v>
      </c>
      <c r="K44" s="116"/>
      <c r="L44" s="116"/>
      <c r="M44" s="116"/>
      <c r="N44" s="116"/>
      <c r="O44" s="116"/>
      <c r="P44" s="116">
        <f t="shared" si="3"/>
        <v>0</v>
      </c>
      <c r="Q44" s="116"/>
      <c r="R44" s="116"/>
      <c r="S44" s="125"/>
      <c r="T44" s="125"/>
      <c r="U44" s="116"/>
      <c r="V44" s="116"/>
      <c r="W44" s="117"/>
      <c r="X44" s="117">
        <f t="shared" si="2"/>
        <v>0</v>
      </c>
      <c r="Y44" s="98"/>
    </row>
    <row r="45" spans="1:25" ht="86.25" customHeight="1">
      <c r="A45" s="469"/>
      <c r="B45" s="469"/>
      <c r="C45" s="469"/>
      <c r="D45" s="106">
        <v>40</v>
      </c>
      <c r="E45" s="106" t="s">
        <v>75</v>
      </c>
      <c r="F45" s="116"/>
      <c r="G45" s="116"/>
      <c r="H45" s="116"/>
      <c r="I45" s="116"/>
      <c r="J45" s="116">
        <f t="shared" si="0"/>
        <v>0</v>
      </c>
      <c r="K45" s="116"/>
      <c r="L45" s="116"/>
      <c r="M45" s="116"/>
      <c r="N45" s="116"/>
      <c r="O45" s="116"/>
      <c r="P45" s="116">
        <f t="shared" si="3"/>
        <v>0</v>
      </c>
      <c r="Q45" s="116"/>
      <c r="R45" s="116"/>
      <c r="S45" s="125"/>
      <c r="T45" s="125">
        <f>(500*19*15)/100000</f>
        <v>1.425</v>
      </c>
      <c r="U45" s="116"/>
      <c r="V45" s="116"/>
      <c r="W45" s="117"/>
      <c r="X45" s="117">
        <f t="shared" si="2"/>
        <v>1.425</v>
      </c>
      <c r="Y45" s="98" t="s">
        <v>568</v>
      </c>
    </row>
    <row r="46" spans="1:25" ht="31.5">
      <c r="A46" s="469"/>
      <c r="B46" s="469"/>
      <c r="C46" s="469"/>
      <c r="D46" s="106">
        <v>41</v>
      </c>
      <c r="E46" s="106" t="s">
        <v>44</v>
      </c>
      <c r="F46" s="116"/>
      <c r="G46" s="116"/>
      <c r="H46" s="116"/>
      <c r="I46" s="116"/>
      <c r="J46" s="116">
        <f t="shared" si="0"/>
        <v>0</v>
      </c>
      <c r="K46" s="116"/>
      <c r="L46" s="116"/>
      <c r="M46" s="116"/>
      <c r="N46" s="116"/>
      <c r="O46" s="116"/>
      <c r="P46" s="116">
        <f t="shared" si="3"/>
        <v>0</v>
      </c>
      <c r="Q46" s="116"/>
      <c r="R46" s="116"/>
      <c r="S46" s="116"/>
      <c r="T46" s="116"/>
      <c r="U46" s="116"/>
      <c r="V46" s="116"/>
      <c r="W46" s="117"/>
      <c r="X46" s="117">
        <f t="shared" si="2"/>
        <v>0</v>
      </c>
      <c r="Y46" s="98"/>
    </row>
    <row r="47" spans="1:25" ht="62.25" customHeight="1">
      <c r="A47" s="469"/>
      <c r="B47" s="476" t="s">
        <v>76</v>
      </c>
      <c r="C47" s="476" t="s">
        <v>77</v>
      </c>
      <c r="D47" s="106">
        <v>42</v>
      </c>
      <c r="E47" s="106" t="s">
        <v>78</v>
      </c>
      <c r="F47" s="121">
        <v>16.166</v>
      </c>
      <c r="G47" s="120"/>
      <c r="H47" s="120"/>
      <c r="I47" s="120"/>
      <c r="J47" s="116">
        <f t="shared" si="0"/>
        <v>0</v>
      </c>
      <c r="K47" s="122"/>
      <c r="L47" s="122"/>
      <c r="M47" s="120"/>
      <c r="N47" s="120"/>
      <c r="O47" s="120"/>
      <c r="P47" s="116">
        <f t="shared" si="3"/>
        <v>0</v>
      </c>
      <c r="Q47" s="120"/>
      <c r="R47" s="120"/>
      <c r="S47" s="121"/>
      <c r="T47" s="121"/>
      <c r="U47" s="120"/>
      <c r="V47" s="120"/>
      <c r="W47" s="117"/>
      <c r="X47" s="117">
        <f t="shared" si="2"/>
        <v>16.166</v>
      </c>
      <c r="Y47" s="98" t="s">
        <v>929</v>
      </c>
    </row>
    <row r="48" spans="1:25" ht="41.25" customHeight="1">
      <c r="A48" s="469"/>
      <c r="B48" s="469"/>
      <c r="C48" s="469"/>
      <c r="D48" s="106">
        <v>43</v>
      </c>
      <c r="E48" s="106" t="s">
        <v>79</v>
      </c>
      <c r="F48" s="121">
        <v>0.315</v>
      </c>
      <c r="G48" s="120"/>
      <c r="H48" s="120"/>
      <c r="I48" s="120"/>
      <c r="J48" s="116">
        <f t="shared" si="0"/>
        <v>0</v>
      </c>
      <c r="K48" s="122"/>
      <c r="L48" s="122"/>
      <c r="M48" s="120"/>
      <c r="N48" s="120"/>
      <c r="O48" s="120"/>
      <c r="P48" s="116">
        <f t="shared" si="3"/>
        <v>0</v>
      </c>
      <c r="Q48" s="120"/>
      <c r="R48" s="120"/>
      <c r="S48" s="121"/>
      <c r="T48" s="121"/>
      <c r="U48" s="120"/>
      <c r="V48" s="120"/>
      <c r="W48" s="117"/>
      <c r="X48" s="117">
        <f t="shared" si="2"/>
        <v>0.315</v>
      </c>
      <c r="Y48" s="98" t="s">
        <v>930</v>
      </c>
    </row>
    <row r="49" spans="1:25" ht="62.25" customHeight="1">
      <c r="A49" s="469"/>
      <c r="B49" s="469"/>
      <c r="C49" s="469"/>
      <c r="D49" s="106">
        <v>44</v>
      </c>
      <c r="E49" s="106" t="s">
        <v>80</v>
      </c>
      <c r="F49" s="121">
        <v>0.87</v>
      </c>
      <c r="G49" s="120"/>
      <c r="H49" s="120"/>
      <c r="I49" s="120"/>
      <c r="J49" s="116">
        <f t="shared" si="0"/>
        <v>0</v>
      </c>
      <c r="K49" s="122"/>
      <c r="L49" s="122"/>
      <c r="M49" s="120"/>
      <c r="N49" s="120"/>
      <c r="O49" s="120"/>
      <c r="P49" s="116">
        <f t="shared" si="3"/>
        <v>0</v>
      </c>
      <c r="Q49" s="120"/>
      <c r="R49" s="120"/>
      <c r="S49" s="121"/>
      <c r="T49" s="121"/>
      <c r="U49" s="120"/>
      <c r="V49" s="120"/>
      <c r="W49" s="117"/>
      <c r="X49" s="117">
        <f t="shared" si="2"/>
        <v>0.87</v>
      </c>
      <c r="Y49" s="98" t="s">
        <v>882</v>
      </c>
    </row>
    <row r="50" spans="1:25" ht="78.75">
      <c r="A50" s="469"/>
      <c r="B50" s="469"/>
      <c r="C50" s="469"/>
      <c r="D50" s="106">
        <v>45</v>
      </c>
      <c r="E50" s="106" t="s">
        <v>81</v>
      </c>
      <c r="F50" s="121">
        <v>0.41199999999999998</v>
      </c>
      <c r="G50" s="120"/>
      <c r="H50" s="120"/>
      <c r="I50" s="120"/>
      <c r="J50" s="116">
        <f t="shared" si="0"/>
        <v>0</v>
      </c>
      <c r="K50" s="120"/>
      <c r="L50" s="120"/>
      <c r="M50" s="120"/>
      <c r="N50" s="120"/>
      <c r="O50" s="120"/>
      <c r="P50" s="116">
        <f t="shared" si="3"/>
        <v>0</v>
      </c>
      <c r="Q50" s="120"/>
      <c r="R50" s="120"/>
      <c r="S50" s="120"/>
      <c r="T50" s="120"/>
      <c r="U50" s="120"/>
      <c r="V50" s="120"/>
      <c r="W50" s="117"/>
      <c r="X50" s="117">
        <f t="shared" si="2"/>
        <v>0.41199999999999998</v>
      </c>
      <c r="Y50" s="98" t="s">
        <v>883</v>
      </c>
    </row>
    <row r="51" spans="1:25" ht="31.5">
      <c r="A51" s="469"/>
      <c r="B51" s="469"/>
      <c r="C51" s="469"/>
      <c r="D51" s="106">
        <v>46</v>
      </c>
      <c r="E51" s="106" t="s">
        <v>82</v>
      </c>
      <c r="F51" s="120"/>
      <c r="G51" s="120"/>
      <c r="H51" s="120"/>
      <c r="I51" s="120"/>
      <c r="J51" s="116">
        <f t="shared" si="0"/>
        <v>0</v>
      </c>
      <c r="K51" s="120"/>
      <c r="L51" s="120"/>
      <c r="M51" s="120"/>
      <c r="N51" s="120"/>
      <c r="O51" s="120"/>
      <c r="P51" s="116">
        <f t="shared" si="3"/>
        <v>0</v>
      </c>
      <c r="Q51" s="120"/>
      <c r="R51" s="120"/>
      <c r="S51" s="120"/>
      <c r="T51" s="120"/>
      <c r="U51" s="120"/>
      <c r="V51" s="120"/>
      <c r="W51" s="117"/>
      <c r="X51" s="117">
        <f t="shared" si="2"/>
        <v>0</v>
      </c>
      <c r="Y51" s="98"/>
    </row>
    <row r="52" spans="1:25" ht="31.5">
      <c r="A52" s="469"/>
      <c r="B52" s="469"/>
      <c r="C52" s="469"/>
      <c r="D52" s="106">
        <v>47</v>
      </c>
      <c r="E52" s="106" t="s">
        <v>83</v>
      </c>
      <c r="F52" s="121"/>
      <c r="G52" s="120"/>
      <c r="H52" s="120"/>
      <c r="I52" s="120"/>
      <c r="J52" s="116">
        <f t="shared" si="0"/>
        <v>0</v>
      </c>
      <c r="K52" s="120"/>
      <c r="L52" s="120"/>
      <c r="M52" s="120"/>
      <c r="N52" s="120"/>
      <c r="O52" s="120"/>
      <c r="P52" s="116">
        <f t="shared" si="3"/>
        <v>0</v>
      </c>
      <c r="Q52" s="120"/>
      <c r="R52" s="120"/>
      <c r="S52" s="120"/>
      <c r="T52" s="120"/>
      <c r="U52" s="120"/>
      <c r="V52" s="120"/>
      <c r="W52" s="117"/>
      <c r="X52" s="117">
        <f t="shared" si="2"/>
        <v>0</v>
      </c>
      <c r="Y52" s="98"/>
    </row>
    <row r="53" spans="1:25" ht="15.75">
      <c r="A53" s="469"/>
      <c r="B53" s="469"/>
      <c r="C53" s="469"/>
      <c r="D53" s="106">
        <v>48</v>
      </c>
      <c r="E53" s="106" t="s">
        <v>84</v>
      </c>
      <c r="F53" s="120"/>
      <c r="G53" s="120"/>
      <c r="H53" s="120"/>
      <c r="I53" s="120"/>
      <c r="J53" s="116">
        <f t="shared" si="0"/>
        <v>0</v>
      </c>
      <c r="K53" s="120"/>
      <c r="L53" s="120"/>
      <c r="M53" s="120"/>
      <c r="N53" s="120"/>
      <c r="O53" s="120"/>
      <c r="P53" s="116">
        <f t="shared" si="3"/>
        <v>0</v>
      </c>
      <c r="Q53" s="120"/>
      <c r="R53" s="120"/>
      <c r="S53" s="121"/>
      <c r="T53" s="121"/>
      <c r="U53" s="120"/>
      <c r="V53" s="120"/>
      <c r="W53" s="117"/>
      <c r="X53" s="117">
        <f t="shared" si="2"/>
        <v>0</v>
      </c>
      <c r="Y53" s="98"/>
    </row>
    <row r="54" spans="1:25" ht="31.5">
      <c r="A54" s="469"/>
      <c r="B54" s="469"/>
      <c r="C54" s="469"/>
      <c r="D54" s="106">
        <v>49</v>
      </c>
      <c r="E54" s="106" t="s">
        <v>85</v>
      </c>
      <c r="F54" s="120"/>
      <c r="G54" s="120"/>
      <c r="H54" s="120"/>
      <c r="I54" s="120"/>
      <c r="J54" s="116">
        <f t="shared" si="0"/>
        <v>0</v>
      </c>
      <c r="K54" s="120"/>
      <c r="L54" s="120"/>
      <c r="M54" s="120"/>
      <c r="N54" s="120"/>
      <c r="O54" s="120"/>
      <c r="P54" s="116">
        <f t="shared" si="3"/>
        <v>0</v>
      </c>
      <c r="Q54" s="120"/>
      <c r="R54" s="120"/>
      <c r="S54" s="120"/>
      <c r="T54" s="120"/>
      <c r="U54" s="120"/>
      <c r="V54" s="120"/>
      <c r="W54" s="117"/>
      <c r="X54" s="117">
        <f t="shared" si="2"/>
        <v>0</v>
      </c>
      <c r="Y54" s="98"/>
    </row>
    <row r="55" spans="1:25" ht="31.5">
      <c r="A55" s="469"/>
      <c r="B55" s="469"/>
      <c r="C55" s="469"/>
      <c r="D55" s="106">
        <v>50</v>
      </c>
      <c r="E55" s="106" t="s">
        <v>86</v>
      </c>
      <c r="F55" s="120"/>
      <c r="G55" s="120"/>
      <c r="H55" s="120"/>
      <c r="I55" s="120"/>
      <c r="J55" s="116">
        <f t="shared" si="0"/>
        <v>0</v>
      </c>
      <c r="K55" s="122"/>
      <c r="L55" s="122"/>
      <c r="M55" s="120"/>
      <c r="N55" s="120"/>
      <c r="O55" s="120"/>
      <c r="P55" s="116">
        <f t="shared" si="3"/>
        <v>0</v>
      </c>
      <c r="Q55" s="120"/>
      <c r="R55" s="120"/>
      <c r="S55" s="121"/>
      <c r="T55" s="121"/>
      <c r="U55" s="120"/>
      <c r="V55" s="120"/>
      <c r="W55" s="117"/>
      <c r="X55" s="117">
        <f t="shared" si="2"/>
        <v>0</v>
      </c>
      <c r="Y55" s="98"/>
    </row>
    <row r="56" spans="1:25" ht="31.5">
      <c r="A56" s="469"/>
      <c r="B56" s="469"/>
      <c r="C56" s="469"/>
      <c r="D56" s="106">
        <v>51</v>
      </c>
      <c r="E56" s="106" t="s">
        <v>44</v>
      </c>
      <c r="F56" s="120"/>
      <c r="G56" s="120"/>
      <c r="H56" s="120"/>
      <c r="I56" s="120"/>
      <c r="J56" s="116">
        <f t="shared" si="0"/>
        <v>0</v>
      </c>
      <c r="K56" s="120"/>
      <c r="L56" s="120"/>
      <c r="M56" s="120"/>
      <c r="N56" s="120"/>
      <c r="O56" s="120"/>
      <c r="P56" s="116">
        <f t="shared" si="3"/>
        <v>0</v>
      </c>
      <c r="Q56" s="120"/>
      <c r="R56" s="120"/>
      <c r="S56" s="120"/>
      <c r="T56" s="120"/>
      <c r="U56" s="120"/>
      <c r="V56" s="120"/>
      <c r="W56" s="117"/>
      <c r="X56" s="117">
        <f t="shared" si="2"/>
        <v>0</v>
      </c>
      <c r="Y56" s="98"/>
    </row>
    <row r="57" spans="1:25" ht="15.75">
      <c r="A57" s="469"/>
      <c r="B57" s="476" t="s">
        <v>87</v>
      </c>
      <c r="C57" s="476" t="s">
        <v>88</v>
      </c>
      <c r="D57" s="106">
        <v>52</v>
      </c>
      <c r="E57" s="106" t="s">
        <v>89</v>
      </c>
      <c r="F57" s="120"/>
      <c r="G57" s="120"/>
      <c r="H57" s="120"/>
      <c r="I57" s="120"/>
      <c r="J57" s="116">
        <f t="shared" si="0"/>
        <v>0</v>
      </c>
      <c r="K57" s="122"/>
      <c r="L57" s="122"/>
      <c r="M57" s="120"/>
      <c r="N57" s="120"/>
      <c r="O57" s="122"/>
      <c r="P57" s="117">
        <f t="shared" si="3"/>
        <v>0</v>
      </c>
      <c r="Q57" s="120"/>
      <c r="R57" s="120"/>
      <c r="S57" s="120"/>
      <c r="T57" s="120"/>
      <c r="U57" s="120"/>
      <c r="V57" s="120"/>
      <c r="W57" s="117"/>
      <c r="X57" s="117">
        <f t="shared" si="2"/>
        <v>0</v>
      </c>
      <c r="Y57" s="98"/>
    </row>
    <row r="58" spans="1:25" ht="15.75">
      <c r="A58" s="469"/>
      <c r="B58" s="469"/>
      <c r="C58" s="469"/>
      <c r="D58" s="106">
        <v>53</v>
      </c>
      <c r="E58" s="106" t="s">
        <v>90</v>
      </c>
      <c r="F58" s="120"/>
      <c r="G58" s="120"/>
      <c r="H58" s="120"/>
      <c r="I58" s="120"/>
      <c r="J58" s="116">
        <f t="shared" si="0"/>
        <v>0</v>
      </c>
      <c r="K58" s="120"/>
      <c r="L58" s="120"/>
      <c r="M58" s="120"/>
      <c r="N58" s="120"/>
      <c r="O58" s="122"/>
      <c r="P58" s="117">
        <f t="shared" si="3"/>
        <v>0</v>
      </c>
      <c r="Q58" s="120"/>
      <c r="R58" s="120"/>
      <c r="S58" s="120"/>
      <c r="T58" s="120"/>
      <c r="U58" s="120"/>
      <c r="V58" s="120"/>
      <c r="W58" s="117"/>
      <c r="X58" s="117">
        <f t="shared" si="2"/>
        <v>0</v>
      </c>
      <c r="Y58" s="129"/>
    </row>
    <row r="59" spans="1:25" ht="157.5">
      <c r="A59" s="469"/>
      <c r="B59" s="469"/>
      <c r="C59" s="469"/>
      <c r="D59" s="106">
        <v>54</v>
      </c>
      <c r="E59" s="106" t="s">
        <v>91</v>
      </c>
      <c r="F59" s="120"/>
      <c r="G59" s="120"/>
      <c r="H59" s="120"/>
      <c r="I59" s="121"/>
      <c r="J59" s="125">
        <f t="shared" si="0"/>
        <v>0</v>
      </c>
      <c r="K59" s="120"/>
      <c r="L59" s="120"/>
      <c r="M59" s="120"/>
      <c r="N59" s="120"/>
      <c r="O59" s="120"/>
      <c r="P59" s="116">
        <f t="shared" si="3"/>
        <v>0</v>
      </c>
      <c r="Q59" s="120"/>
      <c r="R59" s="120"/>
      <c r="S59" s="121"/>
      <c r="T59" s="121">
        <v>1</v>
      </c>
      <c r="U59" s="115"/>
      <c r="V59" s="120"/>
      <c r="W59" s="117"/>
      <c r="X59" s="117">
        <f t="shared" si="2"/>
        <v>1</v>
      </c>
      <c r="Y59" s="98" t="s">
        <v>800</v>
      </c>
    </row>
    <row r="60" spans="1:25" ht="31.5">
      <c r="A60" s="469"/>
      <c r="B60" s="469"/>
      <c r="C60" s="469"/>
      <c r="D60" s="106">
        <v>55</v>
      </c>
      <c r="E60" s="106" t="s">
        <v>93</v>
      </c>
      <c r="F60" s="120"/>
      <c r="G60" s="120"/>
      <c r="H60" s="120"/>
      <c r="I60" s="120"/>
      <c r="J60" s="116">
        <f t="shared" si="0"/>
        <v>0</v>
      </c>
      <c r="K60" s="120"/>
      <c r="L60" s="120"/>
      <c r="M60" s="120"/>
      <c r="N60" s="120"/>
      <c r="O60" s="122"/>
      <c r="P60" s="117">
        <f t="shared" si="3"/>
        <v>0</v>
      </c>
      <c r="Q60" s="120"/>
      <c r="R60" s="120"/>
      <c r="S60" s="120"/>
      <c r="T60" s="120"/>
      <c r="U60" s="120"/>
      <c r="V60" s="120"/>
      <c r="W60" s="117"/>
      <c r="X60" s="117">
        <f t="shared" si="2"/>
        <v>0</v>
      </c>
      <c r="Y60" s="98"/>
    </row>
    <row r="61" spans="1:25" ht="31.5">
      <c r="A61" s="469"/>
      <c r="B61" s="469"/>
      <c r="C61" s="469"/>
      <c r="D61" s="106">
        <v>56</v>
      </c>
      <c r="E61" s="106" t="s">
        <v>94</v>
      </c>
      <c r="F61" s="120"/>
      <c r="G61" s="120"/>
      <c r="H61" s="120"/>
      <c r="I61" s="120"/>
      <c r="J61" s="116">
        <f t="shared" si="0"/>
        <v>0</v>
      </c>
      <c r="K61" s="120"/>
      <c r="L61" s="120"/>
      <c r="M61" s="120"/>
      <c r="N61" s="120"/>
      <c r="O61" s="120"/>
      <c r="P61" s="116">
        <f t="shared" si="3"/>
        <v>0</v>
      </c>
      <c r="Q61" s="120"/>
      <c r="R61" s="120"/>
      <c r="S61" s="120"/>
      <c r="T61" s="120"/>
      <c r="U61" s="120"/>
      <c r="V61" s="120"/>
      <c r="W61" s="117"/>
      <c r="X61" s="117">
        <f t="shared" si="2"/>
        <v>0</v>
      </c>
      <c r="Y61" s="98"/>
    </row>
    <row r="62" spans="1:25" ht="63">
      <c r="A62" s="469"/>
      <c r="B62" s="469"/>
      <c r="C62" s="469"/>
      <c r="D62" s="106">
        <v>57</v>
      </c>
      <c r="E62" s="106" t="s">
        <v>95</v>
      </c>
      <c r="F62" s="120"/>
      <c r="G62" s="120"/>
      <c r="H62" s="120"/>
      <c r="I62" s="121"/>
      <c r="J62" s="125">
        <f t="shared" si="0"/>
        <v>0</v>
      </c>
      <c r="K62" s="120"/>
      <c r="L62" s="120"/>
      <c r="M62" s="120"/>
      <c r="N62" s="120"/>
      <c r="O62" s="120"/>
      <c r="P62" s="116">
        <f t="shared" si="3"/>
        <v>0</v>
      </c>
      <c r="Q62" s="121"/>
      <c r="R62" s="121">
        <v>2</v>
      </c>
      <c r="S62" s="97"/>
      <c r="T62" s="120"/>
      <c r="U62" s="120"/>
      <c r="V62" s="120"/>
      <c r="W62" s="117"/>
      <c r="X62" s="117">
        <f t="shared" si="2"/>
        <v>2</v>
      </c>
      <c r="Y62" s="98" t="s">
        <v>96</v>
      </c>
    </row>
    <row r="63" spans="1:25" ht="31.5">
      <c r="A63" s="469"/>
      <c r="B63" s="469"/>
      <c r="C63" s="469"/>
      <c r="D63" s="106">
        <v>58</v>
      </c>
      <c r="E63" s="106" t="s">
        <v>97</v>
      </c>
      <c r="F63" s="120"/>
      <c r="G63" s="120"/>
      <c r="H63" s="120"/>
      <c r="I63" s="120"/>
      <c r="J63" s="116">
        <f t="shared" si="0"/>
        <v>0</v>
      </c>
      <c r="K63" s="120"/>
      <c r="L63" s="120"/>
      <c r="M63" s="120"/>
      <c r="N63" s="120"/>
      <c r="O63" s="122"/>
      <c r="P63" s="117">
        <f t="shared" si="3"/>
        <v>0</v>
      </c>
      <c r="Q63" s="120"/>
      <c r="R63" s="120"/>
      <c r="S63" s="120"/>
      <c r="T63" s="120"/>
      <c r="U63" s="120"/>
      <c r="V63" s="120"/>
      <c r="W63" s="117"/>
      <c r="X63" s="117">
        <f t="shared" si="2"/>
        <v>0</v>
      </c>
      <c r="Y63" s="129"/>
    </row>
    <row r="64" spans="1:25" ht="15.75">
      <c r="A64" s="469"/>
      <c r="B64" s="469"/>
      <c r="C64" s="469"/>
      <c r="D64" s="106">
        <v>59</v>
      </c>
      <c r="E64" s="106" t="s">
        <v>98</v>
      </c>
      <c r="F64" s="120"/>
      <c r="G64" s="120"/>
      <c r="H64" s="120"/>
      <c r="I64" s="120"/>
      <c r="J64" s="116">
        <f t="shared" si="0"/>
        <v>0</v>
      </c>
      <c r="K64" s="120"/>
      <c r="L64" s="120"/>
      <c r="M64" s="120"/>
      <c r="N64" s="120"/>
      <c r="O64" s="120"/>
      <c r="P64" s="116">
        <f t="shared" si="3"/>
        <v>0</v>
      </c>
      <c r="Q64" s="120"/>
      <c r="R64" s="120"/>
      <c r="S64" s="120"/>
      <c r="T64" s="120"/>
      <c r="U64" s="120"/>
      <c r="V64" s="120"/>
      <c r="W64" s="117"/>
      <c r="X64" s="117">
        <f t="shared" si="2"/>
        <v>0</v>
      </c>
      <c r="Y64" s="98"/>
    </row>
    <row r="65" spans="1:25" ht="31.5">
      <c r="A65" s="469"/>
      <c r="B65" s="469"/>
      <c r="C65" s="469"/>
      <c r="D65" s="106">
        <v>60</v>
      </c>
      <c r="E65" s="106" t="s">
        <v>99</v>
      </c>
      <c r="F65" s="120"/>
      <c r="G65" s="120"/>
      <c r="H65" s="120"/>
      <c r="I65" s="120"/>
      <c r="J65" s="116">
        <f t="shared" si="0"/>
        <v>0</v>
      </c>
      <c r="K65" s="120"/>
      <c r="L65" s="120"/>
      <c r="M65" s="120"/>
      <c r="N65" s="120"/>
      <c r="O65" s="120"/>
      <c r="P65" s="116">
        <f t="shared" si="3"/>
        <v>0</v>
      </c>
      <c r="Q65" s="120"/>
      <c r="R65" s="120"/>
      <c r="S65" s="120"/>
      <c r="T65" s="120"/>
      <c r="U65" s="120"/>
      <c r="V65" s="120"/>
      <c r="W65" s="117"/>
      <c r="X65" s="117">
        <f t="shared" si="2"/>
        <v>0</v>
      </c>
      <c r="Y65" s="98"/>
    </row>
    <row r="66" spans="1:25" ht="31.5">
      <c r="A66" s="469"/>
      <c r="B66" s="469"/>
      <c r="C66" s="469"/>
      <c r="D66" s="106">
        <v>61</v>
      </c>
      <c r="E66" s="106" t="s">
        <v>44</v>
      </c>
      <c r="F66" s="120"/>
      <c r="G66" s="120"/>
      <c r="H66" s="120"/>
      <c r="I66" s="120"/>
      <c r="J66" s="116">
        <f t="shared" si="0"/>
        <v>0</v>
      </c>
      <c r="K66" s="120"/>
      <c r="L66" s="120"/>
      <c r="M66" s="120"/>
      <c r="N66" s="120"/>
      <c r="O66" s="120"/>
      <c r="P66" s="116">
        <f t="shared" si="3"/>
        <v>0</v>
      </c>
      <c r="Q66" s="120"/>
      <c r="R66" s="120"/>
      <c r="S66" s="120"/>
      <c r="T66" s="120"/>
      <c r="U66" s="120"/>
      <c r="V66" s="120"/>
      <c r="W66" s="117"/>
      <c r="X66" s="117">
        <f t="shared" si="2"/>
        <v>0</v>
      </c>
      <c r="Y66" s="98"/>
    </row>
    <row r="67" spans="1:25" ht="173.25">
      <c r="A67" s="469"/>
      <c r="B67" s="106" t="s">
        <v>100</v>
      </c>
      <c r="C67" s="106" t="s">
        <v>101</v>
      </c>
      <c r="D67" s="106">
        <v>62</v>
      </c>
      <c r="E67" s="106" t="s">
        <v>102</v>
      </c>
      <c r="F67" s="120"/>
      <c r="G67" s="120"/>
      <c r="H67" s="120"/>
      <c r="I67" s="120"/>
      <c r="J67" s="116">
        <f t="shared" si="0"/>
        <v>0</v>
      </c>
      <c r="K67" s="120"/>
      <c r="L67" s="120"/>
      <c r="M67" s="120"/>
      <c r="N67" s="120"/>
      <c r="O67" s="120"/>
      <c r="P67" s="116">
        <f t="shared" si="3"/>
        <v>0</v>
      </c>
      <c r="Q67" s="122"/>
      <c r="R67" s="122"/>
      <c r="S67" s="121"/>
      <c r="T67" s="121"/>
      <c r="U67" s="121"/>
      <c r="V67" s="121"/>
      <c r="W67" s="117"/>
      <c r="X67" s="117">
        <f t="shared" si="2"/>
        <v>0</v>
      </c>
      <c r="Y67" s="98"/>
    </row>
    <row r="68" spans="1:25" ht="50.25" customHeight="1">
      <c r="A68" s="469"/>
      <c r="B68" s="478" t="s">
        <v>103</v>
      </c>
      <c r="C68" s="469"/>
      <c r="D68" s="469"/>
      <c r="E68" s="99"/>
      <c r="F68" s="102">
        <f t="shared" ref="F68:W68" si="4">SUM(F6:F67)</f>
        <v>111.45483000000002</v>
      </c>
      <c r="G68" s="102">
        <f t="shared" si="4"/>
        <v>0</v>
      </c>
      <c r="H68" s="102">
        <f t="shared" si="4"/>
        <v>0</v>
      </c>
      <c r="I68" s="102">
        <f t="shared" si="4"/>
        <v>0</v>
      </c>
      <c r="J68" s="102">
        <f t="shared" si="4"/>
        <v>0</v>
      </c>
      <c r="K68" s="102">
        <f t="shared" si="4"/>
        <v>0</v>
      </c>
      <c r="L68" s="102">
        <f t="shared" si="4"/>
        <v>2.6150000000000002</v>
      </c>
      <c r="M68" s="102">
        <f t="shared" si="4"/>
        <v>0</v>
      </c>
      <c r="N68" s="102">
        <f t="shared" si="4"/>
        <v>0</v>
      </c>
      <c r="O68" s="102">
        <f t="shared" si="4"/>
        <v>131.78530000000001</v>
      </c>
      <c r="P68" s="102">
        <f t="shared" si="4"/>
        <v>131.78530000000001</v>
      </c>
      <c r="Q68" s="102">
        <f t="shared" si="4"/>
        <v>0</v>
      </c>
      <c r="R68" s="102">
        <f t="shared" si="4"/>
        <v>87.610799999999998</v>
      </c>
      <c r="S68" s="102">
        <f t="shared" si="4"/>
        <v>0</v>
      </c>
      <c r="T68" s="102">
        <f t="shared" si="4"/>
        <v>527.35940000000005</v>
      </c>
      <c r="U68" s="102">
        <f t="shared" si="4"/>
        <v>0</v>
      </c>
      <c r="V68" s="102">
        <f t="shared" si="4"/>
        <v>0</v>
      </c>
      <c r="W68" s="102">
        <f t="shared" si="4"/>
        <v>0</v>
      </c>
      <c r="X68" s="102">
        <f t="shared" si="2"/>
        <v>860.82533000000012</v>
      </c>
      <c r="Y68" s="102"/>
    </row>
    <row r="69" spans="1:25" ht="81.75" customHeight="1">
      <c r="A69" s="477" t="s">
        <v>104</v>
      </c>
      <c r="B69" s="106" t="s">
        <v>105</v>
      </c>
      <c r="C69" s="106" t="s">
        <v>106</v>
      </c>
      <c r="D69" s="106">
        <v>63</v>
      </c>
      <c r="E69" s="106" t="s">
        <v>107</v>
      </c>
      <c r="F69" s="120"/>
      <c r="G69" s="120"/>
      <c r="H69" s="120"/>
      <c r="I69" s="120"/>
      <c r="J69" s="116">
        <f t="shared" ref="J69:J79" si="5">H69+I69</f>
        <v>0</v>
      </c>
      <c r="K69" s="120"/>
      <c r="L69" s="120"/>
      <c r="M69" s="120"/>
      <c r="N69" s="120"/>
      <c r="O69" s="120"/>
      <c r="P69" s="116">
        <f t="shared" ref="P69:P78" si="6">N69+O69</f>
        <v>0</v>
      </c>
      <c r="Q69" s="121"/>
      <c r="R69" s="121"/>
      <c r="S69" s="122"/>
      <c r="T69" s="122"/>
      <c r="U69" s="125"/>
      <c r="V69" s="125">
        <v>1.5</v>
      </c>
      <c r="W69" s="135"/>
      <c r="X69" s="117">
        <f t="shared" si="2"/>
        <v>1.5</v>
      </c>
      <c r="Y69" s="98" t="s">
        <v>962</v>
      </c>
    </row>
    <row r="70" spans="1:25" ht="226.5" customHeight="1">
      <c r="A70" s="469"/>
      <c r="B70" s="476" t="s">
        <v>108</v>
      </c>
      <c r="C70" s="476" t="s">
        <v>109</v>
      </c>
      <c r="D70" s="106">
        <v>64</v>
      </c>
      <c r="E70" s="106" t="s">
        <v>110</v>
      </c>
      <c r="F70" s="120"/>
      <c r="G70" s="120"/>
      <c r="H70" s="120"/>
      <c r="I70" s="121"/>
      <c r="J70" s="125">
        <f t="shared" si="5"/>
        <v>0</v>
      </c>
      <c r="K70" s="122"/>
      <c r="L70" s="122">
        <v>0</v>
      </c>
      <c r="M70" s="120"/>
      <c r="N70" s="120"/>
      <c r="O70" s="122">
        <v>0.62</v>
      </c>
      <c r="P70" s="117">
        <f t="shared" si="6"/>
        <v>0.62</v>
      </c>
      <c r="Q70" s="116"/>
      <c r="R70" s="120"/>
      <c r="S70" s="122"/>
      <c r="T70" s="122">
        <v>1</v>
      </c>
      <c r="U70" s="136"/>
      <c r="V70" s="121">
        <v>0.6</v>
      </c>
      <c r="W70" s="117"/>
      <c r="X70" s="117">
        <f t="shared" si="2"/>
        <v>2.2200000000000002</v>
      </c>
      <c r="Y70" s="98" t="s">
        <v>1051</v>
      </c>
    </row>
    <row r="71" spans="1:25" ht="59.25" customHeight="1">
      <c r="A71" s="469"/>
      <c r="B71" s="469"/>
      <c r="C71" s="469"/>
      <c r="D71" s="106">
        <v>65</v>
      </c>
      <c r="E71" s="106" t="s">
        <v>111</v>
      </c>
      <c r="F71" s="120"/>
      <c r="G71" s="120"/>
      <c r="H71" s="120"/>
      <c r="I71" s="120"/>
      <c r="J71" s="116">
        <f t="shared" si="5"/>
        <v>0</v>
      </c>
      <c r="K71" s="120"/>
      <c r="L71" s="120"/>
      <c r="M71" s="120"/>
      <c r="N71" s="120"/>
      <c r="O71" s="120"/>
      <c r="P71" s="116">
        <f t="shared" si="6"/>
        <v>0</v>
      </c>
      <c r="Q71" s="120"/>
      <c r="R71" s="120"/>
      <c r="S71" s="121"/>
      <c r="T71" s="121">
        <v>0.25</v>
      </c>
      <c r="U71" s="121"/>
      <c r="V71" s="121"/>
      <c r="W71" s="117"/>
      <c r="X71" s="117">
        <f t="shared" si="2"/>
        <v>0.25</v>
      </c>
      <c r="Y71" s="98" t="s">
        <v>1052</v>
      </c>
    </row>
    <row r="72" spans="1:25" ht="94.5">
      <c r="A72" s="469"/>
      <c r="B72" s="469"/>
      <c r="C72" s="469"/>
      <c r="D72" s="106">
        <v>66</v>
      </c>
      <c r="E72" s="106" t="s">
        <v>112</v>
      </c>
      <c r="F72" s="120"/>
      <c r="G72" s="120"/>
      <c r="H72" s="120"/>
      <c r="I72" s="120"/>
      <c r="J72" s="116">
        <f t="shared" si="5"/>
        <v>0</v>
      </c>
      <c r="K72" s="120"/>
      <c r="L72" s="120"/>
      <c r="M72" s="120"/>
      <c r="N72" s="120"/>
      <c r="O72" s="122"/>
      <c r="P72" s="117">
        <f t="shared" si="6"/>
        <v>0</v>
      </c>
      <c r="Q72" s="120"/>
      <c r="R72" s="120"/>
      <c r="S72" s="121"/>
      <c r="T72" s="121">
        <v>0.09</v>
      </c>
      <c r="U72" s="120"/>
      <c r="V72" s="120"/>
      <c r="W72" s="132"/>
      <c r="X72" s="117">
        <f t="shared" si="2"/>
        <v>0.09</v>
      </c>
      <c r="Y72" s="98" t="s">
        <v>1053</v>
      </c>
    </row>
    <row r="73" spans="1:25" ht="189">
      <c r="A73" s="469"/>
      <c r="B73" s="469"/>
      <c r="C73" s="469"/>
      <c r="D73" s="106">
        <v>67</v>
      </c>
      <c r="E73" s="106" t="s">
        <v>113</v>
      </c>
      <c r="F73" s="120"/>
      <c r="G73" s="120"/>
      <c r="H73" s="120"/>
      <c r="I73" s="120"/>
      <c r="J73" s="116">
        <f t="shared" si="5"/>
        <v>0</v>
      </c>
      <c r="K73" s="120"/>
      <c r="L73" s="120"/>
      <c r="M73" s="120"/>
      <c r="N73" s="120"/>
      <c r="O73" s="122"/>
      <c r="P73" s="117">
        <f t="shared" si="6"/>
        <v>0</v>
      </c>
      <c r="Q73" s="120"/>
      <c r="R73" s="120"/>
      <c r="S73" s="121"/>
      <c r="T73" s="121">
        <v>68.45</v>
      </c>
      <c r="U73" s="121"/>
      <c r="V73" s="121">
        <v>4</v>
      </c>
      <c r="W73" s="117"/>
      <c r="X73" s="117">
        <f t="shared" si="2"/>
        <v>72.45</v>
      </c>
      <c r="Y73" s="98" t="s">
        <v>1054</v>
      </c>
    </row>
    <row r="74" spans="1:25" ht="78.75">
      <c r="A74" s="469"/>
      <c r="B74" s="469"/>
      <c r="C74" s="469"/>
      <c r="D74" s="106">
        <v>68</v>
      </c>
      <c r="E74" s="106" t="s">
        <v>114</v>
      </c>
      <c r="F74" s="121"/>
      <c r="G74" s="120"/>
      <c r="H74" s="120"/>
      <c r="I74" s="120"/>
      <c r="J74" s="116">
        <f t="shared" si="5"/>
        <v>0</v>
      </c>
      <c r="K74" s="122"/>
      <c r="L74" s="122"/>
      <c r="M74" s="120"/>
      <c r="N74" s="120"/>
      <c r="O74" s="122"/>
      <c r="P74" s="117">
        <f t="shared" si="6"/>
        <v>0</v>
      </c>
      <c r="Q74" s="120"/>
      <c r="R74" s="120"/>
      <c r="S74" s="121"/>
      <c r="T74" s="121">
        <v>6.68</v>
      </c>
      <c r="U74" s="137"/>
      <c r="V74" s="121">
        <v>1.4</v>
      </c>
      <c r="W74" s="117"/>
      <c r="X74" s="117">
        <f t="shared" si="2"/>
        <v>8.08</v>
      </c>
      <c r="Y74" s="98" t="s">
        <v>1055</v>
      </c>
    </row>
    <row r="75" spans="1:25" ht="356.25" customHeight="1">
      <c r="A75" s="469"/>
      <c r="B75" s="476" t="s">
        <v>115</v>
      </c>
      <c r="C75" s="476" t="s">
        <v>116</v>
      </c>
      <c r="D75" s="106">
        <v>69</v>
      </c>
      <c r="E75" s="106" t="s">
        <v>117</v>
      </c>
      <c r="F75" s="138"/>
      <c r="G75" s="138"/>
      <c r="H75" s="138"/>
      <c r="I75" s="138"/>
      <c r="J75" s="116">
        <f t="shared" si="5"/>
        <v>0</v>
      </c>
      <c r="K75" s="138"/>
      <c r="L75" s="138"/>
      <c r="M75" s="138"/>
      <c r="N75" s="138"/>
      <c r="O75" s="139"/>
      <c r="P75" s="116">
        <f t="shared" si="6"/>
        <v>0</v>
      </c>
      <c r="Q75" s="140"/>
      <c r="R75" s="140">
        <v>0.2</v>
      </c>
      <c r="S75" s="140"/>
      <c r="T75" s="140">
        <f>1.2+104.12+5.206+1.84+1.562+0.521+2.3+13</f>
        <v>129.74900000000002</v>
      </c>
      <c r="U75" s="138"/>
      <c r="V75" s="138"/>
      <c r="W75" s="117"/>
      <c r="X75" s="117">
        <f t="shared" si="2"/>
        <v>129.94900000000001</v>
      </c>
      <c r="Y75" s="141" t="s">
        <v>1040</v>
      </c>
    </row>
    <row r="76" spans="1:25" ht="220.5">
      <c r="A76" s="469"/>
      <c r="B76" s="469"/>
      <c r="C76" s="469"/>
      <c r="D76" s="106">
        <v>70</v>
      </c>
      <c r="E76" s="106" t="s">
        <v>118</v>
      </c>
      <c r="F76" s="140">
        <v>2.4</v>
      </c>
      <c r="G76" s="139"/>
      <c r="H76" s="138"/>
      <c r="I76" s="138"/>
      <c r="J76" s="116">
        <f t="shared" si="5"/>
        <v>0</v>
      </c>
      <c r="K76" s="142"/>
      <c r="L76" s="142">
        <v>0.22</v>
      </c>
      <c r="M76" s="139"/>
      <c r="N76" s="138"/>
      <c r="O76" s="138"/>
      <c r="P76" s="116">
        <f t="shared" si="6"/>
        <v>0</v>
      </c>
      <c r="Q76" s="138"/>
      <c r="R76" s="138"/>
      <c r="S76" s="140"/>
      <c r="T76" s="140">
        <f>1.1</f>
        <v>1.1000000000000001</v>
      </c>
      <c r="U76" s="138"/>
      <c r="V76" s="138"/>
      <c r="W76" s="117"/>
      <c r="X76" s="117">
        <f t="shared" si="2"/>
        <v>3.72</v>
      </c>
      <c r="Y76" s="141" t="s">
        <v>910</v>
      </c>
    </row>
    <row r="77" spans="1:25" ht="15.75">
      <c r="A77" s="469"/>
      <c r="B77" s="469"/>
      <c r="C77" s="469"/>
      <c r="D77" s="106">
        <v>71</v>
      </c>
      <c r="E77" s="106" t="s">
        <v>119</v>
      </c>
      <c r="F77" s="138"/>
      <c r="G77" s="138"/>
      <c r="H77" s="138"/>
      <c r="I77" s="138"/>
      <c r="J77" s="116">
        <f t="shared" si="5"/>
        <v>0</v>
      </c>
      <c r="K77" s="138"/>
      <c r="L77" s="138"/>
      <c r="M77" s="138"/>
      <c r="N77" s="138"/>
      <c r="O77" s="138"/>
      <c r="P77" s="116">
        <f t="shared" si="6"/>
        <v>0</v>
      </c>
      <c r="Q77" s="138"/>
      <c r="R77" s="138"/>
      <c r="S77" s="138"/>
      <c r="T77" s="138"/>
      <c r="U77" s="138"/>
      <c r="V77" s="138"/>
      <c r="W77" s="117"/>
      <c r="X77" s="117">
        <f t="shared" si="2"/>
        <v>0</v>
      </c>
      <c r="Y77" s="98"/>
    </row>
    <row r="78" spans="1:25" ht="126">
      <c r="A78" s="469"/>
      <c r="B78" s="469"/>
      <c r="C78" s="469"/>
      <c r="D78" s="106">
        <v>72</v>
      </c>
      <c r="E78" s="106" t="s">
        <v>120</v>
      </c>
      <c r="F78" s="138"/>
      <c r="G78" s="138"/>
      <c r="H78" s="138"/>
      <c r="I78" s="143"/>
      <c r="J78" s="116">
        <f t="shared" si="5"/>
        <v>0</v>
      </c>
      <c r="K78" s="143"/>
      <c r="L78" s="143"/>
      <c r="M78" s="143"/>
      <c r="N78" s="143"/>
      <c r="O78" s="144"/>
      <c r="P78" s="145">
        <f t="shared" si="6"/>
        <v>0</v>
      </c>
      <c r="Q78" s="146"/>
      <c r="R78" s="146"/>
      <c r="S78" s="125"/>
      <c r="T78" s="125">
        <v>8</v>
      </c>
      <c r="U78" s="143"/>
      <c r="V78" s="143"/>
      <c r="W78" s="117"/>
      <c r="X78" s="117">
        <f t="shared" si="2"/>
        <v>8</v>
      </c>
      <c r="Y78" s="141" t="s">
        <v>911</v>
      </c>
    </row>
    <row r="79" spans="1:25" ht="409.5">
      <c r="A79" s="469"/>
      <c r="B79" s="476" t="s">
        <v>121</v>
      </c>
      <c r="C79" s="476" t="s">
        <v>122</v>
      </c>
      <c r="D79" s="106">
        <v>73</v>
      </c>
      <c r="E79" s="106" t="s">
        <v>123</v>
      </c>
      <c r="F79" s="147">
        <v>3.5</v>
      </c>
      <c r="G79" s="109"/>
      <c r="H79" s="147"/>
      <c r="I79" s="147">
        <v>0.4</v>
      </c>
      <c r="J79" s="148">
        <f t="shared" si="5"/>
        <v>0.4</v>
      </c>
      <c r="K79" s="147"/>
      <c r="L79" s="147">
        <v>2.4</v>
      </c>
      <c r="M79" s="147"/>
      <c r="N79" s="147"/>
      <c r="O79" s="147">
        <v>4</v>
      </c>
      <c r="P79" s="149">
        <f>O79</f>
        <v>4</v>
      </c>
      <c r="Q79" s="147"/>
      <c r="R79" s="147">
        <v>12.5</v>
      </c>
      <c r="S79" s="147"/>
      <c r="T79" s="147">
        <v>1.2</v>
      </c>
      <c r="U79" s="147"/>
      <c r="V79" s="147">
        <v>0.5</v>
      </c>
      <c r="W79" s="117"/>
      <c r="X79" s="117">
        <f t="shared" si="2"/>
        <v>24.5</v>
      </c>
      <c r="Y79" s="98" t="s">
        <v>1080</v>
      </c>
    </row>
    <row r="80" spans="1:25" ht="77.25" customHeight="1">
      <c r="A80" s="469"/>
      <c r="B80" s="469"/>
      <c r="C80" s="469"/>
      <c r="D80" s="106">
        <v>74</v>
      </c>
      <c r="E80" s="106" t="s">
        <v>124</v>
      </c>
      <c r="F80" s="147">
        <v>81</v>
      </c>
      <c r="G80" s="147"/>
      <c r="H80" s="147"/>
      <c r="I80" s="150"/>
      <c r="J80" s="140">
        <v>0</v>
      </c>
      <c r="K80" s="150"/>
      <c r="L80" s="150">
        <v>0</v>
      </c>
      <c r="M80" s="150"/>
      <c r="N80" s="150"/>
      <c r="O80" s="150"/>
      <c r="P80" s="140">
        <v>0</v>
      </c>
      <c r="Q80" s="150"/>
      <c r="R80" s="150"/>
      <c r="S80" s="150"/>
      <c r="T80" s="150"/>
      <c r="U80" s="150"/>
      <c r="V80" s="150"/>
      <c r="W80" s="117"/>
      <c r="X80" s="117">
        <f t="shared" si="2"/>
        <v>81</v>
      </c>
      <c r="Y80" s="98" t="s">
        <v>1081</v>
      </c>
    </row>
    <row r="81" spans="1:25" ht="236.25">
      <c r="A81" s="469"/>
      <c r="B81" s="469"/>
      <c r="C81" s="469"/>
      <c r="D81" s="106">
        <v>75</v>
      </c>
      <c r="E81" s="106" t="s">
        <v>125</v>
      </c>
      <c r="F81" s="147">
        <v>2.9</v>
      </c>
      <c r="G81" s="147"/>
      <c r="H81" s="147"/>
      <c r="I81" s="150"/>
      <c r="J81" s="140">
        <v>0</v>
      </c>
      <c r="K81" s="150"/>
      <c r="L81" s="150">
        <v>0</v>
      </c>
      <c r="M81" s="150"/>
      <c r="N81" s="150"/>
      <c r="O81" s="150"/>
      <c r="P81" s="140">
        <v>0</v>
      </c>
      <c r="Q81" s="150"/>
      <c r="R81" s="150"/>
      <c r="S81" s="147"/>
      <c r="T81" s="147">
        <v>2.7</v>
      </c>
      <c r="U81" s="150"/>
      <c r="V81" s="150"/>
      <c r="W81" s="117"/>
      <c r="X81" s="117">
        <f t="shared" si="2"/>
        <v>5.6</v>
      </c>
      <c r="Y81" s="98" t="s">
        <v>1082</v>
      </c>
    </row>
    <row r="82" spans="1:25" ht="157.5">
      <c r="A82" s="469"/>
      <c r="B82" s="469"/>
      <c r="C82" s="469"/>
      <c r="D82" s="106">
        <v>76</v>
      </c>
      <c r="E82" s="106" t="s">
        <v>126</v>
      </c>
      <c r="F82" s="150">
        <v>2.7</v>
      </c>
      <c r="G82" s="150"/>
      <c r="H82" s="150"/>
      <c r="I82" s="150"/>
      <c r="J82" s="140">
        <v>0</v>
      </c>
      <c r="K82" s="150"/>
      <c r="L82" s="150">
        <v>0</v>
      </c>
      <c r="M82" s="150"/>
      <c r="N82" s="150"/>
      <c r="O82" s="147"/>
      <c r="P82" s="140">
        <v>0</v>
      </c>
      <c r="Q82" s="147"/>
      <c r="R82" s="147">
        <v>1.7</v>
      </c>
      <c r="S82" s="150"/>
      <c r="T82" s="150"/>
      <c r="U82" s="150"/>
      <c r="V82" s="150"/>
      <c r="W82" s="117"/>
      <c r="X82" s="117">
        <f t="shared" si="2"/>
        <v>4.4000000000000004</v>
      </c>
      <c r="Y82" s="98" t="s">
        <v>1083</v>
      </c>
    </row>
    <row r="83" spans="1:25" ht="283.5">
      <c r="A83" s="469"/>
      <c r="B83" s="469"/>
      <c r="C83" s="469"/>
      <c r="D83" s="106">
        <v>77</v>
      </c>
      <c r="E83" s="106" t="s">
        <v>127</v>
      </c>
      <c r="F83" s="147">
        <v>0.5</v>
      </c>
      <c r="G83" s="147"/>
      <c r="H83" s="147"/>
      <c r="I83" s="147">
        <v>0.25</v>
      </c>
      <c r="J83" s="149">
        <f>I83</f>
        <v>0.25</v>
      </c>
      <c r="K83" s="147"/>
      <c r="L83" s="147">
        <v>4.8</v>
      </c>
      <c r="M83" s="150"/>
      <c r="N83" s="150"/>
      <c r="O83" s="147">
        <v>1.3</v>
      </c>
      <c r="P83" s="149">
        <f>O83</f>
        <v>1.3</v>
      </c>
      <c r="Q83" s="147"/>
      <c r="R83" s="147"/>
      <c r="S83" s="150"/>
      <c r="T83" s="150"/>
      <c r="U83" s="147"/>
      <c r="V83" s="147">
        <v>0</v>
      </c>
      <c r="W83" s="117"/>
      <c r="X83" s="117">
        <f t="shared" si="2"/>
        <v>6.85</v>
      </c>
      <c r="Y83" s="98" t="s">
        <v>1084</v>
      </c>
    </row>
    <row r="84" spans="1:25" ht="31.5">
      <c r="A84" s="469"/>
      <c r="B84" s="469"/>
      <c r="C84" s="469"/>
      <c r="D84" s="106">
        <v>78</v>
      </c>
      <c r="E84" s="106" t="s">
        <v>128</v>
      </c>
      <c r="F84" s="150"/>
      <c r="G84" s="150"/>
      <c r="H84" s="150"/>
      <c r="I84" s="150"/>
      <c r="J84" s="116">
        <f>H84+I84</f>
        <v>0</v>
      </c>
      <c r="K84" s="150"/>
      <c r="L84" s="150"/>
      <c r="M84" s="150"/>
      <c r="N84" s="150"/>
      <c r="O84" s="150"/>
      <c r="P84" s="116">
        <f>N84+O84</f>
        <v>0</v>
      </c>
      <c r="Q84" s="150"/>
      <c r="R84" s="150"/>
      <c r="S84" s="150"/>
      <c r="T84" s="150"/>
      <c r="U84" s="150"/>
      <c r="V84" s="150"/>
      <c r="W84" s="117"/>
      <c r="X84" s="117">
        <f t="shared" si="2"/>
        <v>0</v>
      </c>
      <c r="Y84" s="98"/>
    </row>
    <row r="85" spans="1:25" ht="15" hidden="1" customHeight="1">
      <c r="A85" s="469"/>
      <c r="B85" s="469"/>
      <c r="C85" s="469"/>
      <c r="D85" s="106">
        <v>79</v>
      </c>
      <c r="E85" s="106" t="s">
        <v>44</v>
      </c>
      <c r="F85" s="151"/>
      <c r="G85" s="151"/>
      <c r="H85" s="151"/>
      <c r="I85" s="151"/>
      <c r="J85" s="116">
        <f t="shared" ref="J85:J92" si="7">H85+I85</f>
        <v>0</v>
      </c>
      <c r="K85" s="151"/>
      <c r="L85" s="151"/>
      <c r="M85" s="151"/>
      <c r="N85" s="151"/>
      <c r="O85" s="151"/>
      <c r="P85" s="116">
        <f t="shared" ref="P85:P92" si="8">N85+O85</f>
        <v>0</v>
      </c>
      <c r="Q85" s="151"/>
      <c r="R85" s="151"/>
      <c r="S85" s="151"/>
      <c r="T85" s="151"/>
      <c r="U85" s="151"/>
      <c r="V85" s="151"/>
      <c r="W85" s="117"/>
      <c r="X85" s="117">
        <f t="shared" si="2"/>
        <v>0</v>
      </c>
      <c r="Y85" s="98"/>
    </row>
    <row r="86" spans="1:25" ht="15.75">
      <c r="A86" s="469"/>
      <c r="B86" s="476" t="s">
        <v>129</v>
      </c>
      <c r="C86" s="476" t="s">
        <v>130</v>
      </c>
      <c r="D86" s="106">
        <v>80</v>
      </c>
      <c r="E86" s="106" t="s">
        <v>131</v>
      </c>
      <c r="F86" s="120"/>
      <c r="G86" s="120"/>
      <c r="H86" s="120"/>
      <c r="I86" s="120"/>
      <c r="J86" s="116">
        <f t="shared" si="7"/>
        <v>0</v>
      </c>
      <c r="K86" s="120"/>
      <c r="L86" s="120"/>
      <c r="M86" s="120"/>
      <c r="N86" s="120"/>
      <c r="O86" s="152"/>
      <c r="P86" s="145">
        <f t="shared" si="8"/>
        <v>0</v>
      </c>
      <c r="Q86" s="122"/>
      <c r="R86" s="122"/>
      <c r="S86" s="121"/>
      <c r="T86" s="121"/>
      <c r="U86" s="151"/>
      <c r="V86" s="120"/>
      <c r="W86" s="117"/>
      <c r="X86" s="117">
        <f t="shared" si="2"/>
        <v>0</v>
      </c>
      <c r="Y86" s="98"/>
    </row>
    <row r="87" spans="1:25" ht="31.5">
      <c r="A87" s="469"/>
      <c r="B87" s="469"/>
      <c r="C87" s="469"/>
      <c r="D87" s="106">
        <v>81</v>
      </c>
      <c r="E87" s="106" t="s">
        <v>132</v>
      </c>
      <c r="F87" s="120"/>
      <c r="G87" s="120"/>
      <c r="H87" s="120"/>
      <c r="I87" s="120"/>
      <c r="J87" s="116">
        <f t="shared" si="7"/>
        <v>0</v>
      </c>
      <c r="K87" s="120"/>
      <c r="L87" s="120"/>
      <c r="M87" s="120"/>
      <c r="N87" s="120"/>
      <c r="O87" s="120"/>
      <c r="P87" s="116">
        <f t="shared" si="8"/>
        <v>0</v>
      </c>
      <c r="Q87" s="122"/>
      <c r="R87" s="122"/>
      <c r="S87" s="121"/>
      <c r="T87" s="121">
        <v>0</v>
      </c>
      <c r="U87" s="120"/>
      <c r="V87" s="120"/>
      <c r="W87" s="117"/>
      <c r="X87" s="117">
        <f t="shared" si="2"/>
        <v>0</v>
      </c>
      <c r="Y87" s="98"/>
    </row>
    <row r="88" spans="1:25" ht="47.25">
      <c r="A88" s="469"/>
      <c r="B88" s="469"/>
      <c r="C88" s="469"/>
      <c r="D88" s="106">
        <v>82</v>
      </c>
      <c r="E88" s="106" t="s">
        <v>133</v>
      </c>
      <c r="F88" s="120"/>
      <c r="G88" s="120"/>
      <c r="H88" s="120"/>
      <c r="I88" s="120"/>
      <c r="J88" s="116">
        <f t="shared" si="7"/>
        <v>0</v>
      </c>
      <c r="K88" s="120"/>
      <c r="L88" s="120"/>
      <c r="M88" s="120"/>
      <c r="N88" s="120"/>
      <c r="O88" s="120"/>
      <c r="P88" s="116">
        <f t="shared" si="8"/>
        <v>0</v>
      </c>
      <c r="Q88" s="120"/>
      <c r="R88" s="120"/>
      <c r="S88" s="121"/>
      <c r="T88" s="121">
        <v>0.14000000000000001</v>
      </c>
      <c r="U88" s="120"/>
      <c r="V88" s="120"/>
      <c r="W88" s="117"/>
      <c r="X88" s="117">
        <f t="shared" si="2"/>
        <v>0.14000000000000001</v>
      </c>
      <c r="Y88" s="153" t="s">
        <v>955</v>
      </c>
    </row>
    <row r="89" spans="1:25" ht="31.5">
      <c r="A89" s="469"/>
      <c r="B89" s="469"/>
      <c r="C89" s="469"/>
      <c r="D89" s="106">
        <v>83</v>
      </c>
      <c r="E89" s="106" t="s">
        <v>134</v>
      </c>
      <c r="F89" s="120"/>
      <c r="G89" s="120"/>
      <c r="H89" s="120"/>
      <c r="I89" s="120"/>
      <c r="J89" s="116">
        <f t="shared" si="7"/>
        <v>0</v>
      </c>
      <c r="K89" s="120"/>
      <c r="L89" s="120"/>
      <c r="M89" s="120"/>
      <c r="N89" s="120"/>
      <c r="O89" s="122">
        <v>0.5</v>
      </c>
      <c r="P89" s="117">
        <f t="shared" si="8"/>
        <v>0.5</v>
      </c>
      <c r="Q89" s="121"/>
      <c r="R89" s="121"/>
      <c r="S89" s="121"/>
      <c r="T89" s="121">
        <v>0</v>
      </c>
      <c r="U89" s="120"/>
      <c r="V89" s="120"/>
      <c r="W89" s="117"/>
      <c r="X89" s="117">
        <f t="shared" si="2"/>
        <v>0.5</v>
      </c>
      <c r="Y89" s="98" t="s">
        <v>956</v>
      </c>
    </row>
    <row r="90" spans="1:25" ht="94.5">
      <c r="A90" s="469"/>
      <c r="B90" s="106" t="s">
        <v>135</v>
      </c>
      <c r="C90" s="106" t="s">
        <v>136</v>
      </c>
      <c r="D90" s="106">
        <v>84</v>
      </c>
      <c r="E90" s="106" t="s">
        <v>137</v>
      </c>
      <c r="F90" s="120"/>
      <c r="G90" s="120"/>
      <c r="H90" s="120"/>
      <c r="I90" s="120"/>
      <c r="J90" s="116">
        <f t="shared" si="7"/>
        <v>0</v>
      </c>
      <c r="K90" s="122"/>
      <c r="L90" s="122"/>
      <c r="M90" s="120"/>
      <c r="N90" s="120"/>
      <c r="O90" s="122"/>
      <c r="P90" s="117">
        <f t="shared" si="8"/>
        <v>0</v>
      </c>
      <c r="Q90" s="120"/>
      <c r="R90" s="120"/>
      <c r="S90" s="120"/>
      <c r="T90" s="120"/>
      <c r="U90" s="120"/>
      <c r="V90" s="120"/>
      <c r="W90" s="117"/>
      <c r="X90" s="117">
        <f t="shared" si="2"/>
        <v>0</v>
      </c>
      <c r="Y90" s="98"/>
    </row>
    <row r="91" spans="1:25" ht="141.75">
      <c r="A91" s="469"/>
      <c r="B91" s="106" t="s">
        <v>138</v>
      </c>
      <c r="C91" s="106" t="s">
        <v>139</v>
      </c>
      <c r="D91" s="106">
        <v>85</v>
      </c>
      <c r="E91" s="106" t="s">
        <v>140</v>
      </c>
      <c r="F91" s="120"/>
      <c r="G91" s="120"/>
      <c r="H91" s="120"/>
      <c r="I91" s="120"/>
      <c r="J91" s="116">
        <f t="shared" si="7"/>
        <v>0</v>
      </c>
      <c r="K91" s="120"/>
      <c r="L91" s="120"/>
      <c r="M91" s="120"/>
      <c r="N91" s="120"/>
      <c r="O91" s="122"/>
      <c r="P91" s="117">
        <f t="shared" si="8"/>
        <v>0</v>
      </c>
      <c r="Q91" s="120"/>
      <c r="R91" s="120"/>
      <c r="S91" s="120"/>
      <c r="T91" s="120"/>
      <c r="U91" s="120"/>
      <c r="V91" s="120"/>
      <c r="W91" s="117"/>
      <c r="X91" s="117">
        <f t="shared" si="2"/>
        <v>0</v>
      </c>
      <c r="Y91" s="98"/>
    </row>
    <row r="92" spans="1:25" ht="94.5" hidden="1">
      <c r="A92" s="469"/>
      <c r="B92" s="106" t="s">
        <v>141</v>
      </c>
      <c r="C92" s="106" t="s">
        <v>44</v>
      </c>
      <c r="D92" s="106">
        <v>86</v>
      </c>
      <c r="E92" s="106" t="s">
        <v>142</v>
      </c>
      <c r="F92" s="116"/>
      <c r="G92" s="116"/>
      <c r="H92" s="116"/>
      <c r="I92" s="116"/>
      <c r="J92" s="116">
        <f t="shared" si="7"/>
        <v>0</v>
      </c>
      <c r="K92" s="116"/>
      <c r="L92" s="116"/>
      <c r="M92" s="116"/>
      <c r="N92" s="116"/>
      <c r="O92" s="116"/>
      <c r="P92" s="116">
        <f t="shared" si="8"/>
        <v>0</v>
      </c>
      <c r="Q92" s="116"/>
      <c r="R92" s="116"/>
      <c r="S92" s="116"/>
      <c r="T92" s="116"/>
      <c r="U92" s="116"/>
      <c r="V92" s="116"/>
      <c r="W92" s="117"/>
      <c r="X92" s="117">
        <f t="shared" si="2"/>
        <v>0</v>
      </c>
      <c r="Y92" s="98"/>
    </row>
    <row r="93" spans="1:25" s="110" customFormat="1" ht="33.75" customHeight="1">
      <c r="A93" s="469"/>
      <c r="B93" s="476" t="s">
        <v>143</v>
      </c>
      <c r="C93" s="479"/>
      <c r="D93" s="479"/>
      <c r="E93" s="106"/>
      <c r="F93" s="102">
        <f t="shared" ref="F93:W93" si="9">SUM(F69:F92)</f>
        <v>93.000000000000014</v>
      </c>
      <c r="G93" s="102">
        <f t="shared" si="9"/>
        <v>0</v>
      </c>
      <c r="H93" s="102">
        <f t="shared" si="9"/>
        <v>0</v>
      </c>
      <c r="I93" s="102">
        <f t="shared" si="9"/>
        <v>0.65</v>
      </c>
      <c r="J93" s="102">
        <f t="shared" si="9"/>
        <v>0.65</v>
      </c>
      <c r="K93" s="102">
        <f t="shared" si="9"/>
        <v>0</v>
      </c>
      <c r="L93" s="102">
        <f t="shared" si="9"/>
        <v>7.42</v>
      </c>
      <c r="M93" s="102">
        <f t="shared" si="9"/>
        <v>0</v>
      </c>
      <c r="N93" s="102">
        <f t="shared" si="9"/>
        <v>0</v>
      </c>
      <c r="O93" s="102">
        <f t="shared" si="9"/>
        <v>6.42</v>
      </c>
      <c r="P93" s="102">
        <f t="shared" si="9"/>
        <v>6.42</v>
      </c>
      <c r="Q93" s="102">
        <f t="shared" si="9"/>
        <v>0</v>
      </c>
      <c r="R93" s="102">
        <f t="shared" si="9"/>
        <v>14.399999999999999</v>
      </c>
      <c r="S93" s="102">
        <f t="shared" si="9"/>
        <v>0</v>
      </c>
      <c r="T93" s="102">
        <f t="shared" si="9"/>
        <v>219.35899999999998</v>
      </c>
      <c r="U93" s="102">
        <f t="shared" si="9"/>
        <v>0</v>
      </c>
      <c r="V93" s="102">
        <f t="shared" si="9"/>
        <v>8</v>
      </c>
      <c r="W93" s="102">
        <f t="shared" si="9"/>
        <v>0</v>
      </c>
      <c r="X93" s="154">
        <f t="shared" si="2"/>
        <v>349.24900000000002</v>
      </c>
      <c r="Y93" s="154"/>
    </row>
    <row r="94" spans="1:25" s="157" customFormat="1" ht="85.5" customHeight="1">
      <c r="A94" s="477" t="s">
        <v>144</v>
      </c>
      <c r="B94" s="476" t="s">
        <v>145</v>
      </c>
      <c r="C94" s="476" t="s">
        <v>146</v>
      </c>
      <c r="D94" s="106">
        <v>87</v>
      </c>
      <c r="E94" s="106" t="s">
        <v>147</v>
      </c>
      <c r="F94" s="155"/>
      <c r="G94" s="155"/>
      <c r="H94" s="155"/>
      <c r="I94" s="155"/>
      <c r="J94" s="116">
        <f t="shared" ref="J94:J133" si="10">H94+I94</f>
        <v>0</v>
      </c>
      <c r="K94" s="155"/>
      <c r="L94" s="155"/>
      <c r="M94" s="155"/>
      <c r="N94" s="155"/>
      <c r="O94" s="122">
        <v>25</v>
      </c>
      <c r="P94" s="117">
        <f t="shared" ref="P94:P133" si="11">N94+O94</f>
        <v>25</v>
      </c>
      <c r="Q94" s="155"/>
      <c r="R94" s="155"/>
      <c r="S94" s="155"/>
      <c r="T94" s="155"/>
      <c r="U94" s="155"/>
      <c r="V94" s="155"/>
      <c r="W94" s="117"/>
      <c r="X94" s="117">
        <f t="shared" si="2"/>
        <v>25</v>
      </c>
      <c r="Y94" s="156" t="s">
        <v>591</v>
      </c>
    </row>
    <row r="95" spans="1:25" ht="63">
      <c r="A95" s="469"/>
      <c r="B95" s="469"/>
      <c r="C95" s="469"/>
      <c r="D95" s="106">
        <v>88</v>
      </c>
      <c r="E95" s="106" t="s">
        <v>148</v>
      </c>
      <c r="F95" s="155"/>
      <c r="G95" s="155"/>
      <c r="H95" s="155"/>
      <c r="I95" s="155"/>
      <c r="J95" s="116">
        <f t="shared" si="10"/>
        <v>0</v>
      </c>
      <c r="K95" s="155"/>
      <c r="L95" s="155"/>
      <c r="M95" s="155"/>
      <c r="N95" s="155"/>
      <c r="O95" s="155"/>
      <c r="P95" s="116">
        <f t="shared" si="11"/>
        <v>0</v>
      </c>
      <c r="Q95" s="155"/>
      <c r="R95" s="155"/>
      <c r="S95" s="158"/>
      <c r="T95" s="158">
        <f>7+13</f>
        <v>20</v>
      </c>
      <c r="U95" s="155"/>
      <c r="V95" s="155"/>
      <c r="W95" s="117"/>
      <c r="X95" s="117">
        <f t="shared" si="2"/>
        <v>20</v>
      </c>
      <c r="Y95" s="156" t="s">
        <v>1152</v>
      </c>
    </row>
    <row r="96" spans="1:25" ht="47.25">
      <c r="A96" s="469"/>
      <c r="B96" s="469"/>
      <c r="C96" s="469"/>
      <c r="D96" s="106">
        <v>89</v>
      </c>
      <c r="E96" s="106" t="s">
        <v>149</v>
      </c>
      <c r="F96" s="155"/>
      <c r="G96" s="155"/>
      <c r="H96" s="155"/>
      <c r="I96" s="155"/>
      <c r="J96" s="116">
        <f t="shared" si="10"/>
        <v>0</v>
      </c>
      <c r="K96" s="155"/>
      <c r="L96" s="155"/>
      <c r="M96" s="155"/>
      <c r="N96" s="155"/>
      <c r="O96" s="155"/>
      <c r="P96" s="116">
        <f t="shared" si="11"/>
        <v>0</v>
      </c>
      <c r="Q96" s="155"/>
      <c r="R96" s="155"/>
      <c r="S96" s="155"/>
      <c r="T96" s="155"/>
      <c r="U96" s="155"/>
      <c r="V96" s="155"/>
      <c r="W96" s="117"/>
      <c r="X96" s="117">
        <f t="shared" si="2"/>
        <v>0</v>
      </c>
      <c r="Y96" s="156"/>
    </row>
    <row r="97" spans="1:25" ht="47.25">
      <c r="A97" s="469"/>
      <c r="B97" s="469"/>
      <c r="C97" s="469"/>
      <c r="D97" s="106">
        <v>90</v>
      </c>
      <c r="E97" s="106" t="s">
        <v>150</v>
      </c>
      <c r="F97" s="155"/>
      <c r="G97" s="155"/>
      <c r="H97" s="155"/>
      <c r="I97" s="155"/>
      <c r="J97" s="116">
        <f t="shared" si="10"/>
        <v>0</v>
      </c>
      <c r="K97" s="155"/>
      <c r="L97" s="155"/>
      <c r="M97" s="155"/>
      <c r="N97" s="155"/>
      <c r="O97" s="155"/>
      <c r="P97" s="116">
        <f t="shared" si="11"/>
        <v>0</v>
      </c>
      <c r="Q97" s="155"/>
      <c r="R97" s="155"/>
      <c r="S97" s="158"/>
      <c r="T97" s="158"/>
      <c r="U97" s="155"/>
      <c r="V97" s="155"/>
      <c r="W97" s="117"/>
      <c r="X97" s="117">
        <f t="shared" si="2"/>
        <v>0</v>
      </c>
      <c r="Y97" s="156"/>
    </row>
    <row r="98" spans="1:25" ht="15.75">
      <c r="A98" s="469"/>
      <c r="B98" s="469"/>
      <c r="C98" s="469"/>
      <c r="D98" s="106">
        <v>91</v>
      </c>
      <c r="E98" s="106" t="s">
        <v>151</v>
      </c>
      <c r="F98" s="155"/>
      <c r="G98" s="120"/>
      <c r="H98" s="120"/>
      <c r="I98" s="120"/>
      <c r="J98" s="116">
        <f t="shared" si="10"/>
        <v>0</v>
      </c>
      <c r="K98" s="120"/>
      <c r="L98" s="120"/>
      <c r="M98" s="120"/>
      <c r="N98" s="120"/>
      <c r="O98" s="122"/>
      <c r="P98" s="117">
        <f t="shared" si="11"/>
        <v>0</v>
      </c>
      <c r="Q98" s="120"/>
      <c r="R98" s="120"/>
      <c r="S98" s="121"/>
      <c r="T98" s="121"/>
      <c r="U98" s="155"/>
      <c r="V98" s="155"/>
      <c r="W98" s="117"/>
      <c r="X98" s="117">
        <f t="shared" si="2"/>
        <v>0</v>
      </c>
      <c r="Y98" s="159"/>
    </row>
    <row r="99" spans="1:25" ht="47.25">
      <c r="A99" s="469"/>
      <c r="B99" s="469"/>
      <c r="C99" s="469"/>
      <c r="D99" s="106">
        <v>92</v>
      </c>
      <c r="E99" s="106" t="s">
        <v>152</v>
      </c>
      <c r="F99" s="155"/>
      <c r="G99" s="155"/>
      <c r="H99" s="155"/>
      <c r="I99" s="155"/>
      <c r="J99" s="116">
        <f t="shared" si="10"/>
        <v>0</v>
      </c>
      <c r="K99" s="155"/>
      <c r="L99" s="155"/>
      <c r="M99" s="155"/>
      <c r="N99" s="155"/>
      <c r="O99" s="155"/>
      <c r="P99" s="116">
        <f t="shared" si="11"/>
        <v>0</v>
      </c>
      <c r="Q99" s="155"/>
      <c r="R99" s="155"/>
      <c r="S99" s="158"/>
      <c r="T99" s="158">
        <v>2</v>
      </c>
      <c r="U99" s="155"/>
      <c r="V99" s="155"/>
      <c r="W99" s="117"/>
      <c r="X99" s="117">
        <f t="shared" si="2"/>
        <v>2</v>
      </c>
      <c r="Y99" s="160" t="s">
        <v>592</v>
      </c>
    </row>
    <row r="100" spans="1:25" ht="78.75">
      <c r="A100" s="469"/>
      <c r="B100" s="469"/>
      <c r="C100" s="469"/>
      <c r="D100" s="106">
        <v>93</v>
      </c>
      <c r="E100" s="106" t="s">
        <v>153</v>
      </c>
      <c r="F100" s="155"/>
      <c r="G100" s="155"/>
      <c r="H100" s="155"/>
      <c r="I100" s="155"/>
      <c r="J100" s="116">
        <f t="shared" si="10"/>
        <v>0</v>
      </c>
      <c r="K100" s="158"/>
      <c r="L100" s="158">
        <v>7.5</v>
      </c>
      <c r="M100" s="155"/>
      <c r="N100" s="155"/>
      <c r="O100" s="155"/>
      <c r="P100" s="116">
        <f t="shared" si="11"/>
        <v>0</v>
      </c>
      <c r="Q100" s="155"/>
      <c r="R100" s="155"/>
      <c r="S100" s="155"/>
      <c r="T100" s="155"/>
      <c r="U100" s="155"/>
      <c r="V100" s="155"/>
      <c r="W100" s="117"/>
      <c r="X100" s="117">
        <f t="shared" si="2"/>
        <v>7.5</v>
      </c>
      <c r="Y100" s="160" t="s">
        <v>593</v>
      </c>
    </row>
    <row r="101" spans="1:25" ht="78.75">
      <c r="A101" s="469"/>
      <c r="B101" s="469"/>
      <c r="C101" s="469"/>
      <c r="D101" s="106">
        <v>94</v>
      </c>
      <c r="E101" s="106" t="s">
        <v>154</v>
      </c>
      <c r="F101" s="155"/>
      <c r="G101" s="155"/>
      <c r="H101" s="155"/>
      <c r="I101" s="155"/>
      <c r="J101" s="116">
        <f t="shared" si="10"/>
        <v>0</v>
      </c>
      <c r="K101" s="158"/>
      <c r="L101" s="158">
        <v>7.5</v>
      </c>
      <c r="M101" s="155"/>
      <c r="N101" s="155"/>
      <c r="O101" s="155"/>
      <c r="P101" s="116">
        <f t="shared" si="11"/>
        <v>0</v>
      </c>
      <c r="Q101" s="155"/>
      <c r="R101" s="155"/>
      <c r="S101" s="155"/>
      <c r="T101" s="155"/>
      <c r="U101" s="155"/>
      <c r="V101" s="155"/>
      <c r="W101" s="117"/>
      <c r="X101" s="117">
        <f t="shared" si="2"/>
        <v>7.5</v>
      </c>
      <c r="Y101" s="160" t="s">
        <v>594</v>
      </c>
    </row>
    <row r="102" spans="1:25" ht="63">
      <c r="A102" s="469"/>
      <c r="B102" s="469"/>
      <c r="C102" s="469"/>
      <c r="D102" s="106">
        <v>95</v>
      </c>
      <c r="E102" s="106" t="s">
        <v>155</v>
      </c>
      <c r="F102" s="155"/>
      <c r="G102" s="155"/>
      <c r="H102" s="155"/>
      <c r="I102" s="158"/>
      <c r="J102" s="125">
        <f t="shared" si="10"/>
        <v>0</v>
      </c>
      <c r="K102" s="122"/>
      <c r="L102" s="122"/>
      <c r="M102" s="155"/>
      <c r="N102" s="155"/>
      <c r="O102" s="155"/>
      <c r="P102" s="116">
        <f t="shared" si="11"/>
        <v>0</v>
      </c>
      <c r="Q102" s="155"/>
      <c r="R102" s="155"/>
      <c r="S102" s="155"/>
      <c r="T102" s="155"/>
      <c r="U102" s="155"/>
      <c r="V102" s="155"/>
      <c r="W102" s="117"/>
      <c r="X102" s="117">
        <f t="shared" si="2"/>
        <v>0</v>
      </c>
      <c r="Y102" s="98"/>
    </row>
    <row r="103" spans="1:25" ht="47.25">
      <c r="A103" s="469"/>
      <c r="B103" s="469"/>
      <c r="C103" s="469"/>
      <c r="D103" s="106">
        <v>96</v>
      </c>
      <c r="E103" s="106" t="s">
        <v>156</v>
      </c>
      <c r="F103" s="155"/>
      <c r="G103" s="155"/>
      <c r="H103" s="155"/>
      <c r="I103" s="155"/>
      <c r="J103" s="116">
        <f t="shared" si="10"/>
        <v>0</v>
      </c>
      <c r="K103" s="155"/>
      <c r="L103" s="155"/>
      <c r="M103" s="155"/>
      <c r="N103" s="155"/>
      <c r="O103" s="155"/>
      <c r="P103" s="116">
        <f t="shared" si="11"/>
        <v>0</v>
      </c>
      <c r="Q103" s="155"/>
      <c r="R103" s="155"/>
      <c r="S103" s="120"/>
      <c r="T103" s="120">
        <v>1</v>
      </c>
      <c r="U103" s="155"/>
      <c r="V103" s="155"/>
      <c r="W103" s="117"/>
      <c r="X103" s="117">
        <f t="shared" si="2"/>
        <v>1</v>
      </c>
      <c r="Y103" s="98" t="s">
        <v>157</v>
      </c>
    </row>
    <row r="104" spans="1:25" ht="141.75">
      <c r="A104" s="469"/>
      <c r="B104" s="476" t="s">
        <v>158</v>
      </c>
      <c r="C104" s="476" t="s">
        <v>159</v>
      </c>
      <c r="D104" s="106">
        <v>97</v>
      </c>
      <c r="E104" s="106" t="s">
        <v>160</v>
      </c>
      <c r="F104" s="120"/>
      <c r="G104" s="120"/>
      <c r="H104" s="120"/>
      <c r="I104" s="120"/>
      <c r="J104" s="116">
        <f t="shared" si="10"/>
        <v>0</v>
      </c>
      <c r="K104" s="122"/>
      <c r="L104" s="122"/>
      <c r="M104" s="120"/>
      <c r="N104" s="120"/>
      <c r="O104" s="122"/>
      <c r="P104" s="117">
        <f t="shared" si="11"/>
        <v>0</v>
      </c>
      <c r="Q104" s="122"/>
      <c r="R104" s="122"/>
      <c r="S104" s="121"/>
      <c r="T104" s="121">
        <f>3.6+1+1+0.5+5.5</f>
        <v>11.6</v>
      </c>
      <c r="U104" s="120"/>
      <c r="V104" s="120"/>
      <c r="W104" s="117"/>
      <c r="X104" s="117">
        <f t="shared" si="2"/>
        <v>11.6</v>
      </c>
      <c r="Y104" s="98" t="s">
        <v>630</v>
      </c>
    </row>
    <row r="105" spans="1:25" ht="73.5" customHeight="1">
      <c r="A105" s="469"/>
      <c r="B105" s="469"/>
      <c r="C105" s="469"/>
      <c r="D105" s="106">
        <v>98</v>
      </c>
      <c r="E105" s="106" t="s">
        <v>44</v>
      </c>
      <c r="F105" s="140"/>
      <c r="G105" s="140"/>
      <c r="H105" s="140"/>
      <c r="I105" s="140"/>
      <c r="J105" s="116">
        <f t="shared" si="10"/>
        <v>0</v>
      </c>
      <c r="K105" s="140"/>
      <c r="L105" s="140"/>
      <c r="M105" s="140"/>
      <c r="N105" s="140"/>
      <c r="O105" s="140"/>
      <c r="P105" s="116">
        <f t="shared" si="11"/>
        <v>0</v>
      </c>
      <c r="Q105" s="140"/>
      <c r="R105" s="140"/>
      <c r="S105" s="140"/>
      <c r="T105" s="140">
        <v>0.36</v>
      </c>
      <c r="U105" s="140"/>
      <c r="V105" s="140"/>
      <c r="W105" s="117"/>
      <c r="X105" s="117">
        <f t="shared" si="2"/>
        <v>0.36</v>
      </c>
      <c r="Y105" s="98" t="s">
        <v>631</v>
      </c>
    </row>
    <row r="106" spans="1:25" ht="15.75">
      <c r="A106" s="469"/>
      <c r="B106" s="476" t="s">
        <v>161</v>
      </c>
      <c r="C106" s="476" t="s">
        <v>162</v>
      </c>
      <c r="D106" s="106">
        <v>99</v>
      </c>
      <c r="E106" s="106" t="s">
        <v>163</v>
      </c>
      <c r="F106" s="140"/>
      <c r="G106" s="140"/>
      <c r="H106" s="140"/>
      <c r="I106" s="161"/>
      <c r="J106" s="125">
        <f t="shared" si="10"/>
        <v>0</v>
      </c>
      <c r="K106" s="162"/>
      <c r="L106" s="162"/>
      <c r="M106" s="140"/>
      <c r="N106" s="140"/>
      <c r="O106" s="162"/>
      <c r="P106" s="117">
        <f t="shared" si="11"/>
        <v>0</v>
      </c>
      <c r="Q106" s="140"/>
      <c r="R106" s="140"/>
      <c r="S106" s="140"/>
      <c r="T106" s="140"/>
      <c r="U106" s="140"/>
      <c r="V106" s="140"/>
      <c r="W106" s="117"/>
      <c r="X106" s="117">
        <f t="shared" si="2"/>
        <v>0</v>
      </c>
      <c r="Y106" s="129"/>
    </row>
    <row r="107" spans="1:25" ht="31.5">
      <c r="A107" s="469"/>
      <c r="B107" s="469"/>
      <c r="C107" s="469"/>
      <c r="D107" s="106">
        <v>100</v>
      </c>
      <c r="E107" s="106" t="s">
        <v>165</v>
      </c>
      <c r="F107" s="140"/>
      <c r="G107" s="140"/>
      <c r="H107" s="140"/>
      <c r="I107" s="140"/>
      <c r="J107" s="116">
        <f t="shared" si="10"/>
        <v>0</v>
      </c>
      <c r="K107" s="162"/>
      <c r="L107" s="162"/>
      <c r="M107" s="140"/>
      <c r="N107" s="140"/>
      <c r="O107" s="162"/>
      <c r="P107" s="117">
        <f t="shared" si="11"/>
        <v>0</v>
      </c>
      <c r="Q107" s="140"/>
      <c r="R107" s="140"/>
      <c r="S107" s="140"/>
      <c r="T107" s="140"/>
      <c r="U107" s="140"/>
      <c r="V107" s="140"/>
      <c r="W107" s="117"/>
      <c r="X107" s="117">
        <f t="shared" si="2"/>
        <v>0</v>
      </c>
      <c r="Y107" s="129"/>
    </row>
    <row r="108" spans="1:25" ht="31.5">
      <c r="A108" s="469"/>
      <c r="B108" s="469"/>
      <c r="C108" s="469"/>
      <c r="D108" s="106">
        <v>101</v>
      </c>
      <c r="E108" s="106" t="s">
        <v>166</v>
      </c>
      <c r="F108" s="140"/>
      <c r="G108" s="140"/>
      <c r="H108" s="140"/>
      <c r="I108" s="140"/>
      <c r="J108" s="116">
        <f t="shared" si="10"/>
        <v>0</v>
      </c>
      <c r="K108" s="140"/>
      <c r="L108" s="140"/>
      <c r="M108" s="140"/>
      <c r="N108" s="140"/>
      <c r="O108" s="140"/>
      <c r="P108" s="116">
        <f t="shared" si="11"/>
        <v>0</v>
      </c>
      <c r="Q108" s="140"/>
      <c r="R108" s="140"/>
      <c r="S108" s="140"/>
      <c r="T108" s="140"/>
      <c r="U108" s="140"/>
      <c r="V108" s="140"/>
      <c r="W108" s="117"/>
      <c r="X108" s="117">
        <f t="shared" si="2"/>
        <v>0</v>
      </c>
      <c r="Y108" s="129"/>
    </row>
    <row r="109" spans="1:25" ht="93" customHeight="1">
      <c r="A109" s="469"/>
      <c r="B109" s="469"/>
      <c r="C109" s="469"/>
      <c r="D109" s="106">
        <v>102</v>
      </c>
      <c r="E109" s="106" t="s">
        <v>167</v>
      </c>
      <c r="F109" s="140"/>
      <c r="G109" s="140"/>
      <c r="H109" s="140"/>
      <c r="I109" s="140"/>
      <c r="J109" s="116">
        <f t="shared" si="10"/>
        <v>0</v>
      </c>
      <c r="K109" s="140"/>
      <c r="L109" s="140"/>
      <c r="M109" s="140"/>
      <c r="N109" s="140"/>
      <c r="O109" s="140"/>
      <c r="P109" s="116">
        <f t="shared" si="11"/>
        <v>0</v>
      </c>
      <c r="Q109" s="140"/>
      <c r="R109" s="140"/>
      <c r="S109" s="140"/>
      <c r="T109" s="140">
        <v>2.8</v>
      </c>
      <c r="U109" s="140"/>
      <c r="V109" s="140"/>
      <c r="W109" s="117"/>
      <c r="X109" s="117">
        <f t="shared" si="2"/>
        <v>2.8</v>
      </c>
      <c r="Y109" s="98" t="s">
        <v>632</v>
      </c>
    </row>
    <row r="110" spans="1:25" ht="31.5">
      <c r="A110" s="469"/>
      <c r="B110" s="469"/>
      <c r="C110" s="469"/>
      <c r="D110" s="106">
        <v>103</v>
      </c>
      <c r="E110" s="106" t="s">
        <v>44</v>
      </c>
      <c r="F110" s="140"/>
      <c r="G110" s="140"/>
      <c r="H110" s="140"/>
      <c r="I110" s="140"/>
      <c r="J110" s="116">
        <f t="shared" si="10"/>
        <v>0</v>
      </c>
      <c r="K110" s="140"/>
      <c r="L110" s="140"/>
      <c r="M110" s="140"/>
      <c r="N110" s="140"/>
      <c r="O110" s="140"/>
      <c r="P110" s="116">
        <f t="shared" si="11"/>
        <v>0</v>
      </c>
      <c r="Q110" s="140"/>
      <c r="R110" s="140"/>
      <c r="S110" s="161"/>
      <c r="T110" s="161"/>
      <c r="U110" s="161"/>
      <c r="V110" s="161"/>
      <c r="W110" s="117"/>
      <c r="X110" s="117">
        <f t="shared" si="2"/>
        <v>0</v>
      </c>
      <c r="Y110" s="98"/>
    </row>
    <row r="111" spans="1:25" ht="31.5">
      <c r="A111" s="469"/>
      <c r="B111" s="476" t="s">
        <v>168</v>
      </c>
      <c r="C111" s="476" t="s">
        <v>169</v>
      </c>
      <c r="D111" s="106">
        <v>104</v>
      </c>
      <c r="E111" s="106" t="s">
        <v>170</v>
      </c>
      <c r="F111" s="140"/>
      <c r="G111" s="140"/>
      <c r="H111" s="140"/>
      <c r="I111" s="140"/>
      <c r="J111" s="116">
        <f t="shared" si="10"/>
        <v>0</v>
      </c>
      <c r="K111" s="140"/>
      <c r="L111" s="140"/>
      <c r="M111" s="140"/>
      <c r="N111" s="140"/>
      <c r="O111" s="140"/>
      <c r="P111" s="116">
        <f t="shared" si="11"/>
        <v>0</v>
      </c>
      <c r="Q111" s="140"/>
      <c r="R111" s="140"/>
      <c r="S111" s="161"/>
      <c r="T111" s="161"/>
      <c r="U111" s="161"/>
      <c r="V111" s="161"/>
      <c r="W111" s="117"/>
      <c r="X111" s="117">
        <f t="shared" si="2"/>
        <v>0</v>
      </c>
      <c r="Y111" s="98"/>
    </row>
    <row r="112" spans="1:25" ht="141.75">
      <c r="A112" s="469"/>
      <c r="B112" s="469"/>
      <c r="C112" s="469"/>
      <c r="D112" s="106">
        <v>105</v>
      </c>
      <c r="E112" s="106" t="s">
        <v>171</v>
      </c>
      <c r="F112" s="140"/>
      <c r="G112" s="140"/>
      <c r="H112" s="140"/>
      <c r="I112" s="140"/>
      <c r="J112" s="116">
        <f t="shared" si="10"/>
        <v>0</v>
      </c>
      <c r="K112" s="140"/>
      <c r="L112" s="140"/>
      <c r="M112" s="140"/>
      <c r="N112" s="140"/>
      <c r="O112" s="140"/>
      <c r="P112" s="116">
        <f t="shared" si="11"/>
        <v>0</v>
      </c>
      <c r="Q112" s="140"/>
      <c r="R112" s="140"/>
      <c r="S112" s="162"/>
      <c r="T112" s="162">
        <v>2</v>
      </c>
      <c r="U112" s="140"/>
      <c r="V112" s="140"/>
      <c r="W112" s="117"/>
      <c r="X112" s="117">
        <f t="shared" si="2"/>
        <v>2</v>
      </c>
      <c r="Y112" s="98" t="s">
        <v>633</v>
      </c>
    </row>
    <row r="113" spans="1:25" ht="15.75">
      <c r="A113" s="469"/>
      <c r="B113" s="469"/>
      <c r="C113" s="469"/>
      <c r="D113" s="106">
        <v>106</v>
      </c>
      <c r="E113" s="106" t="s">
        <v>172</v>
      </c>
      <c r="F113" s="140"/>
      <c r="G113" s="140"/>
      <c r="H113" s="140"/>
      <c r="I113" s="140"/>
      <c r="J113" s="116">
        <f t="shared" si="10"/>
        <v>0</v>
      </c>
      <c r="K113" s="162"/>
      <c r="L113" s="162"/>
      <c r="M113" s="140"/>
      <c r="N113" s="140"/>
      <c r="O113" s="162"/>
      <c r="P113" s="117">
        <f t="shared" si="11"/>
        <v>0</v>
      </c>
      <c r="Q113" s="140"/>
      <c r="R113" s="140"/>
      <c r="S113" s="161"/>
      <c r="T113" s="161"/>
      <c r="U113" s="118"/>
      <c r="V113" s="118"/>
      <c r="W113" s="117"/>
      <c r="X113" s="117">
        <f t="shared" si="2"/>
        <v>0</v>
      </c>
      <c r="Y113" s="98"/>
    </row>
    <row r="114" spans="1:25" ht="15.75">
      <c r="A114" s="469"/>
      <c r="B114" s="476" t="s">
        <v>173</v>
      </c>
      <c r="C114" s="476" t="s">
        <v>174</v>
      </c>
      <c r="D114" s="106">
        <v>107</v>
      </c>
      <c r="E114" s="106" t="s">
        <v>175</v>
      </c>
      <c r="F114" s="140"/>
      <c r="G114" s="140"/>
      <c r="H114" s="140"/>
      <c r="I114" s="140"/>
      <c r="J114" s="116">
        <f t="shared" si="10"/>
        <v>0</v>
      </c>
      <c r="K114" s="162"/>
      <c r="L114" s="162"/>
      <c r="M114" s="140"/>
      <c r="N114" s="140"/>
      <c r="O114" s="162"/>
      <c r="P114" s="117">
        <f t="shared" si="11"/>
        <v>0</v>
      </c>
      <c r="Q114" s="140"/>
      <c r="R114" s="140"/>
      <c r="S114" s="161"/>
      <c r="T114" s="161"/>
      <c r="U114" s="140"/>
      <c r="V114" s="140"/>
      <c r="W114" s="117"/>
      <c r="X114" s="117">
        <f t="shared" si="2"/>
        <v>0</v>
      </c>
      <c r="Y114" s="98"/>
    </row>
    <row r="115" spans="1:25" ht="39" customHeight="1">
      <c r="A115" s="469"/>
      <c r="B115" s="469"/>
      <c r="C115" s="469"/>
      <c r="D115" s="106">
        <v>108</v>
      </c>
      <c r="E115" s="106" t="s">
        <v>176</v>
      </c>
      <c r="F115" s="140"/>
      <c r="G115" s="140"/>
      <c r="H115" s="140"/>
      <c r="I115" s="140"/>
      <c r="J115" s="116">
        <f t="shared" si="10"/>
        <v>0</v>
      </c>
      <c r="K115" s="162"/>
      <c r="L115" s="162"/>
      <c r="M115" s="140"/>
      <c r="N115" s="140"/>
      <c r="O115" s="162"/>
      <c r="P115" s="117">
        <f t="shared" si="11"/>
        <v>0</v>
      </c>
      <c r="Q115" s="140"/>
      <c r="R115" s="140"/>
      <c r="S115" s="161"/>
      <c r="T115" s="161"/>
      <c r="U115" s="140"/>
      <c r="V115" s="140"/>
      <c r="W115" s="117"/>
      <c r="X115" s="117">
        <f t="shared" si="2"/>
        <v>0</v>
      </c>
      <c r="Y115" s="98"/>
    </row>
    <row r="116" spans="1:25" ht="36" customHeight="1">
      <c r="A116" s="469"/>
      <c r="B116" s="469"/>
      <c r="C116" s="469"/>
      <c r="D116" s="106">
        <v>109</v>
      </c>
      <c r="E116" s="106" t="s">
        <v>177</v>
      </c>
      <c r="F116" s="140"/>
      <c r="G116" s="140"/>
      <c r="H116" s="140"/>
      <c r="I116" s="161"/>
      <c r="J116" s="125">
        <f t="shared" si="10"/>
        <v>0</v>
      </c>
      <c r="K116" s="162"/>
      <c r="L116" s="162">
        <v>1</v>
      </c>
      <c r="M116" s="140"/>
      <c r="N116" s="140"/>
      <c r="O116" s="162"/>
      <c r="P116" s="117">
        <f t="shared" si="11"/>
        <v>0</v>
      </c>
      <c r="Q116" s="140"/>
      <c r="R116" s="140"/>
      <c r="S116" s="140"/>
      <c r="T116" s="140"/>
      <c r="U116" s="140"/>
      <c r="V116" s="140"/>
      <c r="W116" s="117"/>
      <c r="X116" s="117">
        <f t="shared" si="2"/>
        <v>1</v>
      </c>
      <c r="Y116" s="129" t="s">
        <v>634</v>
      </c>
    </row>
    <row r="117" spans="1:25" ht="31.5">
      <c r="A117" s="469"/>
      <c r="B117" s="469"/>
      <c r="C117" s="469"/>
      <c r="D117" s="106">
        <v>110</v>
      </c>
      <c r="E117" s="106" t="s">
        <v>178</v>
      </c>
      <c r="F117" s="140"/>
      <c r="G117" s="140"/>
      <c r="H117" s="140"/>
      <c r="I117" s="140"/>
      <c r="J117" s="116">
        <f t="shared" si="10"/>
        <v>0</v>
      </c>
      <c r="K117" s="162"/>
      <c r="L117" s="162"/>
      <c r="M117" s="140"/>
      <c r="N117" s="140"/>
      <c r="O117" s="162"/>
      <c r="P117" s="117">
        <f t="shared" si="11"/>
        <v>0</v>
      </c>
      <c r="Q117" s="161"/>
      <c r="R117" s="161"/>
      <c r="S117" s="162"/>
      <c r="T117" s="162"/>
      <c r="U117" s="140"/>
      <c r="V117" s="140"/>
      <c r="W117" s="117"/>
      <c r="X117" s="117">
        <f t="shared" si="2"/>
        <v>0</v>
      </c>
      <c r="Y117" s="98"/>
    </row>
    <row r="118" spans="1:25" ht="31.5" hidden="1">
      <c r="A118" s="469"/>
      <c r="B118" s="469"/>
      <c r="C118" s="469"/>
      <c r="D118" s="106">
        <v>111</v>
      </c>
      <c r="E118" s="106" t="s">
        <v>44</v>
      </c>
      <c r="F118" s="140"/>
      <c r="G118" s="140"/>
      <c r="H118" s="140"/>
      <c r="I118" s="140"/>
      <c r="J118" s="116">
        <f t="shared" si="10"/>
        <v>0</v>
      </c>
      <c r="K118" s="161"/>
      <c r="L118" s="161"/>
      <c r="M118" s="140"/>
      <c r="N118" s="140"/>
      <c r="O118" s="161"/>
      <c r="P118" s="125">
        <f t="shared" si="11"/>
        <v>0</v>
      </c>
      <c r="Q118" s="140"/>
      <c r="R118" s="140"/>
      <c r="S118" s="161"/>
      <c r="T118" s="161"/>
      <c r="U118" s="161"/>
      <c r="V118" s="161"/>
      <c r="W118" s="117"/>
      <c r="X118" s="117">
        <f t="shared" si="2"/>
        <v>0</v>
      </c>
      <c r="Y118" s="129"/>
    </row>
    <row r="119" spans="1:25" ht="15.75">
      <c r="A119" s="469"/>
      <c r="B119" s="476" t="s">
        <v>179</v>
      </c>
      <c r="C119" s="476" t="s">
        <v>180</v>
      </c>
      <c r="D119" s="106">
        <v>112</v>
      </c>
      <c r="E119" s="106" t="s">
        <v>181</v>
      </c>
      <c r="F119" s="140"/>
      <c r="G119" s="140"/>
      <c r="H119" s="140"/>
      <c r="I119" s="140"/>
      <c r="J119" s="116">
        <f t="shared" si="10"/>
        <v>0</v>
      </c>
      <c r="K119" s="162"/>
      <c r="L119" s="162"/>
      <c r="M119" s="140"/>
      <c r="N119" s="140"/>
      <c r="O119" s="162"/>
      <c r="P119" s="117">
        <f t="shared" si="11"/>
        <v>0</v>
      </c>
      <c r="Q119" s="140"/>
      <c r="R119" s="140"/>
      <c r="S119" s="140"/>
      <c r="T119" s="140"/>
      <c r="U119" s="140"/>
      <c r="V119" s="140"/>
      <c r="W119" s="117"/>
      <c r="X119" s="117">
        <f t="shared" si="2"/>
        <v>0</v>
      </c>
      <c r="Y119" s="129"/>
    </row>
    <row r="120" spans="1:25" ht="31.5">
      <c r="A120" s="469"/>
      <c r="B120" s="469"/>
      <c r="C120" s="469"/>
      <c r="D120" s="106">
        <v>113</v>
      </c>
      <c r="E120" s="106" t="s">
        <v>182</v>
      </c>
      <c r="F120" s="140"/>
      <c r="G120" s="140"/>
      <c r="H120" s="140"/>
      <c r="I120" s="140"/>
      <c r="J120" s="116">
        <f t="shared" si="10"/>
        <v>0</v>
      </c>
      <c r="K120" s="162"/>
      <c r="L120" s="162"/>
      <c r="M120" s="140"/>
      <c r="N120" s="140"/>
      <c r="O120" s="162"/>
      <c r="P120" s="117">
        <f t="shared" si="11"/>
        <v>0</v>
      </c>
      <c r="Q120" s="162"/>
      <c r="R120" s="162"/>
      <c r="S120" s="140"/>
      <c r="T120" s="140"/>
      <c r="U120" s="140"/>
      <c r="V120" s="140"/>
      <c r="W120" s="117"/>
      <c r="X120" s="117">
        <f t="shared" si="2"/>
        <v>0</v>
      </c>
      <c r="Y120" s="129"/>
    </row>
    <row r="121" spans="1:25" ht="173.25">
      <c r="A121" s="469"/>
      <c r="B121" s="106" t="s">
        <v>183</v>
      </c>
      <c r="C121" s="106" t="s">
        <v>184</v>
      </c>
      <c r="D121" s="106">
        <v>114</v>
      </c>
      <c r="E121" s="106" t="s">
        <v>185</v>
      </c>
      <c r="F121" s="120"/>
      <c r="G121" s="120"/>
      <c r="H121" s="120"/>
      <c r="I121" s="121">
        <v>10</v>
      </c>
      <c r="J121" s="125">
        <f t="shared" si="10"/>
        <v>10</v>
      </c>
      <c r="K121" s="120"/>
      <c r="L121" s="120">
        <v>0.8</v>
      </c>
      <c r="M121" s="120"/>
      <c r="N121" s="120"/>
      <c r="O121" s="120"/>
      <c r="P121" s="116">
        <f t="shared" si="11"/>
        <v>0</v>
      </c>
      <c r="Q121" s="120"/>
      <c r="R121" s="120"/>
      <c r="S121" s="120"/>
      <c r="T121" s="120">
        <v>4.5</v>
      </c>
      <c r="U121" s="121"/>
      <c r="V121" s="121"/>
      <c r="W121" s="117"/>
      <c r="X121" s="117">
        <f t="shared" si="2"/>
        <v>15.3</v>
      </c>
      <c r="Y121" s="98" t="s">
        <v>635</v>
      </c>
    </row>
    <row r="122" spans="1:25" ht="31.5">
      <c r="A122" s="469"/>
      <c r="B122" s="476" t="s">
        <v>186</v>
      </c>
      <c r="C122" s="476" t="s">
        <v>187</v>
      </c>
      <c r="D122" s="106">
        <v>115</v>
      </c>
      <c r="E122" s="106" t="s">
        <v>188</v>
      </c>
      <c r="F122" s="140"/>
      <c r="G122" s="140"/>
      <c r="H122" s="140"/>
      <c r="I122" s="140"/>
      <c r="J122" s="116">
        <f t="shared" si="10"/>
        <v>0</v>
      </c>
      <c r="K122" s="140"/>
      <c r="L122" s="140"/>
      <c r="M122" s="140"/>
      <c r="N122" s="140"/>
      <c r="O122" s="140"/>
      <c r="P122" s="116">
        <f t="shared" si="11"/>
        <v>0</v>
      </c>
      <c r="Q122" s="162"/>
      <c r="R122" s="162"/>
      <c r="S122" s="140"/>
      <c r="T122" s="140">
        <v>1.5</v>
      </c>
      <c r="U122" s="140"/>
      <c r="V122" s="140"/>
      <c r="W122" s="117"/>
      <c r="X122" s="117">
        <f t="shared" si="2"/>
        <v>1.5</v>
      </c>
      <c r="Y122" s="98" t="s">
        <v>636</v>
      </c>
    </row>
    <row r="123" spans="1:25" ht="47.25">
      <c r="A123" s="469"/>
      <c r="B123" s="469"/>
      <c r="C123" s="469"/>
      <c r="D123" s="106">
        <v>116</v>
      </c>
      <c r="E123" s="106" t="s">
        <v>189</v>
      </c>
      <c r="F123" s="140"/>
      <c r="G123" s="140"/>
      <c r="H123" s="140"/>
      <c r="I123" s="140"/>
      <c r="J123" s="116">
        <f t="shared" si="10"/>
        <v>0</v>
      </c>
      <c r="K123" s="140"/>
      <c r="L123" s="140"/>
      <c r="M123" s="140"/>
      <c r="N123" s="140"/>
      <c r="O123" s="140"/>
      <c r="P123" s="116">
        <f t="shared" si="11"/>
        <v>0</v>
      </c>
      <c r="Q123" s="162"/>
      <c r="R123" s="162">
        <v>5.7</v>
      </c>
      <c r="S123" s="140"/>
      <c r="T123" s="140"/>
      <c r="U123" s="140"/>
      <c r="V123" s="140"/>
      <c r="W123" s="117"/>
      <c r="X123" s="117">
        <f t="shared" si="2"/>
        <v>5.7</v>
      </c>
      <c r="Y123" s="98" t="s">
        <v>637</v>
      </c>
    </row>
    <row r="124" spans="1:25" ht="15.75">
      <c r="A124" s="469"/>
      <c r="B124" s="469"/>
      <c r="C124" s="469"/>
      <c r="D124" s="106">
        <v>117</v>
      </c>
      <c r="E124" s="106" t="s">
        <v>190</v>
      </c>
      <c r="F124" s="140"/>
      <c r="G124" s="140"/>
      <c r="H124" s="140"/>
      <c r="I124" s="140"/>
      <c r="J124" s="116">
        <f t="shared" si="10"/>
        <v>0</v>
      </c>
      <c r="K124" s="140"/>
      <c r="L124" s="140"/>
      <c r="M124" s="140"/>
      <c r="N124" s="140"/>
      <c r="O124" s="140"/>
      <c r="P124" s="116">
        <f t="shared" si="11"/>
        <v>0</v>
      </c>
      <c r="Q124" s="140"/>
      <c r="R124" s="140"/>
      <c r="S124" s="140"/>
      <c r="T124" s="140"/>
      <c r="U124" s="140"/>
      <c r="V124" s="140"/>
      <c r="W124" s="162"/>
      <c r="X124" s="117">
        <f t="shared" si="2"/>
        <v>0</v>
      </c>
      <c r="Y124" s="98"/>
    </row>
    <row r="125" spans="1:25" ht="31.5" hidden="1">
      <c r="A125" s="469"/>
      <c r="B125" s="469"/>
      <c r="C125" s="469"/>
      <c r="D125" s="106">
        <v>118</v>
      </c>
      <c r="E125" s="106" t="s">
        <v>44</v>
      </c>
      <c r="F125" s="140"/>
      <c r="G125" s="140"/>
      <c r="H125" s="140"/>
      <c r="I125" s="140"/>
      <c r="J125" s="116">
        <f t="shared" si="10"/>
        <v>0</v>
      </c>
      <c r="K125" s="140"/>
      <c r="L125" s="140"/>
      <c r="M125" s="140"/>
      <c r="N125" s="140"/>
      <c r="O125" s="140"/>
      <c r="P125" s="116">
        <f t="shared" si="11"/>
        <v>0</v>
      </c>
      <c r="Q125" s="140"/>
      <c r="R125" s="140"/>
      <c r="S125" s="140"/>
      <c r="T125" s="140"/>
      <c r="U125" s="140"/>
      <c r="V125" s="140"/>
      <c r="W125" s="162"/>
      <c r="X125" s="117">
        <f t="shared" si="2"/>
        <v>0</v>
      </c>
      <c r="Y125" s="98"/>
    </row>
    <row r="126" spans="1:25" ht="110.25">
      <c r="A126" s="469"/>
      <c r="B126" s="106" t="s">
        <v>191</v>
      </c>
      <c r="C126" s="106" t="s">
        <v>192</v>
      </c>
      <c r="D126" s="106">
        <v>119</v>
      </c>
      <c r="E126" s="106" t="s">
        <v>193</v>
      </c>
      <c r="F126" s="140"/>
      <c r="G126" s="140"/>
      <c r="H126" s="140"/>
      <c r="I126" s="161"/>
      <c r="J126" s="125">
        <f t="shared" si="10"/>
        <v>0</v>
      </c>
      <c r="K126" s="162"/>
      <c r="L126" s="162"/>
      <c r="M126" s="140"/>
      <c r="N126" s="140"/>
      <c r="O126" s="140"/>
      <c r="P126" s="116">
        <f t="shared" si="11"/>
        <v>0</v>
      </c>
      <c r="Q126" s="140"/>
      <c r="R126" s="140"/>
      <c r="S126" s="161"/>
      <c r="T126" s="161">
        <v>5</v>
      </c>
      <c r="U126" s="140"/>
      <c r="V126" s="140"/>
      <c r="W126" s="117"/>
      <c r="X126" s="117">
        <f t="shared" si="2"/>
        <v>5</v>
      </c>
      <c r="Y126" s="98" t="s">
        <v>638</v>
      </c>
    </row>
    <row r="127" spans="1:25" ht="173.25">
      <c r="A127" s="469"/>
      <c r="B127" s="106" t="s">
        <v>194</v>
      </c>
      <c r="C127" s="106" t="s">
        <v>195</v>
      </c>
      <c r="D127" s="106">
        <v>120</v>
      </c>
      <c r="E127" s="106" t="s">
        <v>196</v>
      </c>
      <c r="F127" s="140"/>
      <c r="G127" s="140"/>
      <c r="H127" s="140"/>
      <c r="I127" s="140"/>
      <c r="J127" s="116">
        <f t="shared" si="10"/>
        <v>0</v>
      </c>
      <c r="K127" s="140"/>
      <c r="L127" s="140"/>
      <c r="M127" s="140"/>
      <c r="N127" s="140"/>
      <c r="O127" s="161"/>
      <c r="P127" s="125">
        <f t="shared" si="11"/>
        <v>0</v>
      </c>
      <c r="Q127" s="161"/>
      <c r="R127" s="161"/>
      <c r="S127" s="161"/>
      <c r="T127" s="161"/>
      <c r="U127" s="140"/>
      <c r="V127" s="140"/>
      <c r="W127" s="117"/>
      <c r="X127" s="117">
        <f t="shared" si="2"/>
        <v>0</v>
      </c>
      <c r="Y127" s="98"/>
    </row>
    <row r="128" spans="1:25" ht="15.75">
      <c r="A128" s="469"/>
      <c r="B128" s="476" t="s">
        <v>197</v>
      </c>
      <c r="C128" s="476" t="s">
        <v>198</v>
      </c>
      <c r="D128" s="106">
        <v>121</v>
      </c>
      <c r="E128" s="106" t="s">
        <v>199</v>
      </c>
      <c r="F128" s="140"/>
      <c r="G128" s="140"/>
      <c r="H128" s="140"/>
      <c r="I128" s="140"/>
      <c r="J128" s="116">
        <f t="shared" si="10"/>
        <v>0</v>
      </c>
      <c r="K128" s="162"/>
      <c r="L128" s="162"/>
      <c r="M128" s="140"/>
      <c r="N128" s="140"/>
      <c r="O128" s="140"/>
      <c r="P128" s="116">
        <f t="shared" si="11"/>
        <v>0</v>
      </c>
      <c r="Q128" s="140"/>
      <c r="R128" s="140"/>
      <c r="S128" s="140"/>
      <c r="T128" s="140"/>
      <c r="U128" s="140"/>
      <c r="V128" s="140"/>
      <c r="W128" s="117"/>
      <c r="X128" s="117">
        <f t="shared" si="2"/>
        <v>0</v>
      </c>
      <c r="Y128" s="98"/>
    </row>
    <row r="129" spans="1:25" ht="31.5">
      <c r="A129" s="469"/>
      <c r="B129" s="469"/>
      <c r="C129" s="469"/>
      <c r="D129" s="106">
        <v>122</v>
      </c>
      <c r="E129" s="106" t="s">
        <v>200</v>
      </c>
      <c r="F129" s="140"/>
      <c r="G129" s="140"/>
      <c r="H129" s="140"/>
      <c r="I129" s="140"/>
      <c r="J129" s="116">
        <f t="shared" si="10"/>
        <v>0</v>
      </c>
      <c r="K129" s="140"/>
      <c r="L129" s="140"/>
      <c r="M129" s="140"/>
      <c r="N129" s="140"/>
      <c r="O129" s="140"/>
      <c r="P129" s="116">
        <f t="shared" si="11"/>
        <v>0</v>
      </c>
      <c r="Q129" s="140"/>
      <c r="R129" s="140"/>
      <c r="S129" s="140"/>
      <c r="T129" s="140"/>
      <c r="U129" s="140"/>
      <c r="V129" s="140"/>
      <c r="W129" s="117"/>
      <c r="X129" s="117">
        <f t="shared" si="2"/>
        <v>0</v>
      </c>
      <c r="Y129" s="98"/>
    </row>
    <row r="130" spans="1:25" ht="25.5" customHeight="1">
      <c r="A130" s="469"/>
      <c r="B130" s="469"/>
      <c r="C130" s="469"/>
      <c r="D130" s="106">
        <v>123</v>
      </c>
      <c r="E130" s="106" t="s">
        <v>201</v>
      </c>
      <c r="F130" s="140"/>
      <c r="G130" s="140"/>
      <c r="H130" s="140"/>
      <c r="I130" s="140"/>
      <c r="J130" s="116">
        <f t="shared" si="10"/>
        <v>0</v>
      </c>
      <c r="K130" s="140"/>
      <c r="L130" s="140"/>
      <c r="M130" s="140"/>
      <c r="N130" s="140"/>
      <c r="O130" s="140"/>
      <c r="P130" s="116">
        <f t="shared" si="11"/>
        <v>0</v>
      </c>
      <c r="Q130" s="140"/>
      <c r="R130" s="140"/>
      <c r="S130" s="161"/>
      <c r="T130" s="161"/>
      <c r="U130" s="140"/>
      <c r="V130" s="140"/>
      <c r="W130" s="117"/>
      <c r="X130" s="117">
        <f t="shared" si="2"/>
        <v>0</v>
      </c>
      <c r="Y130" s="98"/>
    </row>
    <row r="131" spans="1:25" ht="15.75">
      <c r="A131" s="469"/>
      <c r="B131" s="476" t="s">
        <v>202</v>
      </c>
      <c r="C131" s="476" t="s">
        <v>203</v>
      </c>
      <c r="D131" s="106">
        <v>124</v>
      </c>
      <c r="E131" s="106" t="s">
        <v>204</v>
      </c>
      <c r="F131" s="140"/>
      <c r="G131" s="140"/>
      <c r="H131" s="140"/>
      <c r="I131" s="161"/>
      <c r="J131" s="125">
        <f t="shared" si="10"/>
        <v>0</v>
      </c>
      <c r="K131" s="140"/>
      <c r="L131" s="140"/>
      <c r="M131" s="140"/>
      <c r="N131" s="140"/>
      <c r="O131" s="140"/>
      <c r="P131" s="116">
        <f t="shared" si="11"/>
        <v>0</v>
      </c>
      <c r="Q131" s="140"/>
      <c r="R131" s="140"/>
      <c r="S131" s="140"/>
      <c r="T131" s="140"/>
      <c r="U131" s="140"/>
      <c r="V131" s="140"/>
      <c r="W131" s="117"/>
      <c r="X131" s="117">
        <f t="shared" si="2"/>
        <v>0</v>
      </c>
      <c r="Y131" s="129"/>
    </row>
    <row r="132" spans="1:25" ht="46.5" customHeight="1">
      <c r="A132" s="469"/>
      <c r="B132" s="469"/>
      <c r="C132" s="469"/>
      <c r="D132" s="106">
        <v>125</v>
      </c>
      <c r="E132" s="106" t="s">
        <v>205</v>
      </c>
      <c r="F132" s="140"/>
      <c r="G132" s="140"/>
      <c r="H132" s="140"/>
      <c r="I132" s="161"/>
      <c r="J132" s="125">
        <f t="shared" si="10"/>
        <v>0</v>
      </c>
      <c r="K132" s="140"/>
      <c r="L132" s="140"/>
      <c r="M132" s="140"/>
      <c r="N132" s="140"/>
      <c r="O132" s="140"/>
      <c r="P132" s="116">
        <f t="shared" si="11"/>
        <v>0</v>
      </c>
      <c r="Q132" s="140"/>
      <c r="R132" s="140"/>
      <c r="S132" s="140"/>
      <c r="T132" s="140"/>
      <c r="U132" s="140"/>
      <c r="V132" s="140"/>
      <c r="W132" s="117"/>
      <c r="X132" s="117">
        <f t="shared" si="2"/>
        <v>0</v>
      </c>
      <c r="Y132" s="129"/>
    </row>
    <row r="133" spans="1:25" ht="57.75" hidden="1" customHeight="1">
      <c r="A133" s="469"/>
      <c r="B133" s="106" t="s">
        <v>206</v>
      </c>
      <c r="C133" s="106" t="s">
        <v>207</v>
      </c>
      <c r="D133" s="106">
        <v>126</v>
      </c>
      <c r="E133" s="106" t="s">
        <v>142</v>
      </c>
      <c r="F133" s="120"/>
      <c r="G133" s="120"/>
      <c r="H133" s="120"/>
      <c r="I133" s="120"/>
      <c r="J133" s="116">
        <f t="shared" si="10"/>
        <v>0</v>
      </c>
      <c r="K133" s="120"/>
      <c r="L133" s="120"/>
      <c r="M133" s="120"/>
      <c r="N133" s="120"/>
      <c r="O133" s="120"/>
      <c r="P133" s="116">
        <f t="shared" si="11"/>
        <v>0</v>
      </c>
      <c r="Q133" s="120"/>
      <c r="R133" s="120"/>
      <c r="S133" s="120"/>
      <c r="T133" s="120"/>
      <c r="U133" s="120"/>
      <c r="V133" s="120"/>
      <c r="W133" s="117"/>
      <c r="X133" s="117">
        <f t="shared" si="2"/>
        <v>0</v>
      </c>
      <c r="Y133" s="98"/>
    </row>
    <row r="134" spans="1:25" ht="26.25" customHeight="1">
      <c r="A134" s="469"/>
      <c r="B134" s="476" t="s">
        <v>208</v>
      </c>
      <c r="C134" s="469"/>
      <c r="D134" s="469"/>
      <c r="E134" s="106"/>
      <c r="F134" s="100">
        <f t="shared" ref="F134:W134" si="12">SUM(F94:F133)</f>
        <v>0</v>
      </c>
      <c r="G134" s="100">
        <f t="shared" si="12"/>
        <v>0</v>
      </c>
      <c r="H134" s="100">
        <f t="shared" si="12"/>
        <v>0</v>
      </c>
      <c r="I134" s="100">
        <f t="shared" si="12"/>
        <v>10</v>
      </c>
      <c r="J134" s="100">
        <f t="shared" si="12"/>
        <v>10</v>
      </c>
      <c r="K134" s="100">
        <f t="shared" si="12"/>
        <v>0</v>
      </c>
      <c r="L134" s="100">
        <f t="shared" si="12"/>
        <v>16.8</v>
      </c>
      <c r="M134" s="100">
        <f t="shared" si="12"/>
        <v>0</v>
      </c>
      <c r="N134" s="100">
        <f t="shared" si="12"/>
        <v>0</v>
      </c>
      <c r="O134" s="102">
        <f t="shared" si="12"/>
        <v>25</v>
      </c>
      <c r="P134" s="102">
        <f t="shared" si="12"/>
        <v>25</v>
      </c>
      <c r="Q134" s="100">
        <f t="shared" si="12"/>
        <v>0</v>
      </c>
      <c r="R134" s="100">
        <f t="shared" si="12"/>
        <v>5.7</v>
      </c>
      <c r="S134" s="100">
        <f t="shared" si="12"/>
        <v>0</v>
      </c>
      <c r="T134" s="100">
        <f t="shared" si="12"/>
        <v>50.76</v>
      </c>
      <c r="U134" s="100">
        <f t="shared" si="12"/>
        <v>0</v>
      </c>
      <c r="V134" s="100">
        <f t="shared" si="12"/>
        <v>0</v>
      </c>
      <c r="W134" s="102">
        <f t="shared" si="12"/>
        <v>0</v>
      </c>
      <c r="X134" s="99">
        <f t="shared" si="2"/>
        <v>108.25999999999999</v>
      </c>
      <c r="Y134" s="107"/>
    </row>
    <row r="135" spans="1:25" ht="47.25">
      <c r="A135" s="477" t="s">
        <v>209</v>
      </c>
      <c r="B135" s="476" t="s">
        <v>210</v>
      </c>
      <c r="C135" s="476" t="s">
        <v>211</v>
      </c>
      <c r="D135" s="106">
        <v>127</v>
      </c>
      <c r="E135" s="106" t="s">
        <v>212</v>
      </c>
      <c r="F135" s="120"/>
      <c r="G135" s="120"/>
      <c r="H135" s="120"/>
      <c r="I135" s="120"/>
      <c r="J135" s="116">
        <f t="shared" ref="J135:J157" si="13">H135+I135</f>
        <v>0</v>
      </c>
      <c r="K135" s="120"/>
      <c r="L135" s="120"/>
      <c r="M135" s="120"/>
      <c r="N135" s="120"/>
      <c r="O135" s="120"/>
      <c r="P135" s="116">
        <f t="shared" ref="P135:P157" si="14">N135+O135</f>
        <v>0</v>
      </c>
      <c r="Q135" s="120"/>
      <c r="R135" s="120"/>
      <c r="S135" s="120"/>
      <c r="T135" s="120"/>
      <c r="U135" s="120"/>
      <c r="V135" s="120"/>
      <c r="W135" s="117"/>
      <c r="X135" s="117">
        <f t="shared" si="2"/>
        <v>0</v>
      </c>
      <c r="Y135" s="98"/>
    </row>
    <row r="136" spans="1:25" ht="39" customHeight="1">
      <c r="A136" s="469"/>
      <c r="B136" s="469"/>
      <c r="C136" s="469"/>
      <c r="D136" s="106">
        <v>128</v>
      </c>
      <c r="E136" s="106" t="s">
        <v>213</v>
      </c>
      <c r="F136" s="120"/>
      <c r="G136" s="120"/>
      <c r="H136" s="120"/>
      <c r="I136" s="120"/>
      <c r="J136" s="116">
        <f t="shared" si="13"/>
        <v>0</v>
      </c>
      <c r="K136" s="120"/>
      <c r="L136" s="120"/>
      <c r="M136" s="120"/>
      <c r="N136" s="120"/>
      <c r="O136" s="122"/>
      <c r="P136" s="117">
        <f t="shared" si="14"/>
        <v>0</v>
      </c>
      <c r="Q136" s="120"/>
      <c r="R136" s="120"/>
      <c r="S136" s="163"/>
      <c r="T136" s="163"/>
      <c r="U136" s="120"/>
      <c r="V136" s="120"/>
      <c r="W136" s="117"/>
      <c r="X136" s="117">
        <f t="shared" si="2"/>
        <v>0</v>
      </c>
      <c r="Y136" s="98"/>
    </row>
    <row r="137" spans="1:25" ht="31.5">
      <c r="A137" s="469"/>
      <c r="B137" s="106"/>
      <c r="C137" s="106"/>
      <c r="D137" s="106">
        <v>129</v>
      </c>
      <c r="E137" s="106" t="s">
        <v>214</v>
      </c>
      <c r="F137" s="120"/>
      <c r="G137" s="120"/>
      <c r="H137" s="120"/>
      <c r="I137" s="120"/>
      <c r="J137" s="116">
        <f t="shared" si="13"/>
        <v>0</v>
      </c>
      <c r="K137" s="120"/>
      <c r="L137" s="120"/>
      <c r="M137" s="120"/>
      <c r="N137" s="120"/>
      <c r="O137" s="120"/>
      <c r="P137" s="116">
        <f t="shared" si="14"/>
        <v>0</v>
      </c>
      <c r="Q137" s="120"/>
      <c r="R137" s="120"/>
      <c r="S137" s="120"/>
      <c r="T137" s="120"/>
      <c r="U137" s="120"/>
      <c r="V137" s="120"/>
      <c r="W137" s="117"/>
      <c r="X137" s="117">
        <f t="shared" si="2"/>
        <v>0</v>
      </c>
      <c r="Y137" s="98"/>
    </row>
    <row r="138" spans="1:25" ht="47.25">
      <c r="A138" s="469"/>
      <c r="B138" s="476" t="s">
        <v>215</v>
      </c>
      <c r="C138" s="476" t="s">
        <v>216</v>
      </c>
      <c r="D138" s="106">
        <v>130</v>
      </c>
      <c r="E138" s="106" t="s">
        <v>217</v>
      </c>
      <c r="F138" s="120"/>
      <c r="G138" s="120"/>
      <c r="H138" s="120"/>
      <c r="I138" s="120"/>
      <c r="J138" s="116">
        <f t="shared" si="13"/>
        <v>0</v>
      </c>
      <c r="K138" s="120"/>
      <c r="L138" s="120"/>
      <c r="M138" s="120"/>
      <c r="N138" s="120"/>
      <c r="O138" s="120"/>
      <c r="P138" s="116">
        <f t="shared" si="14"/>
        <v>0</v>
      </c>
      <c r="Q138" s="120"/>
      <c r="R138" s="120"/>
      <c r="S138" s="120"/>
      <c r="T138" s="120"/>
      <c r="U138" s="120"/>
      <c r="V138" s="120"/>
      <c r="W138" s="117"/>
      <c r="X138" s="117">
        <f t="shared" si="2"/>
        <v>0</v>
      </c>
      <c r="Y138" s="98"/>
    </row>
    <row r="139" spans="1:25" ht="15.75">
      <c r="A139" s="469"/>
      <c r="B139" s="469"/>
      <c r="C139" s="469"/>
      <c r="D139" s="106">
        <v>131</v>
      </c>
      <c r="E139" s="106" t="s">
        <v>218</v>
      </c>
      <c r="F139" s="120"/>
      <c r="G139" s="120"/>
      <c r="H139" s="120"/>
      <c r="I139" s="120"/>
      <c r="J139" s="116">
        <f t="shared" si="13"/>
        <v>0</v>
      </c>
      <c r="K139" s="120"/>
      <c r="L139" s="120"/>
      <c r="M139" s="120"/>
      <c r="N139" s="120"/>
      <c r="O139" s="120"/>
      <c r="P139" s="116">
        <f t="shared" si="14"/>
        <v>0</v>
      </c>
      <c r="Q139" s="120"/>
      <c r="R139" s="120"/>
      <c r="S139" s="120"/>
      <c r="T139" s="140"/>
      <c r="U139" s="120"/>
      <c r="V139" s="120"/>
      <c r="W139" s="117"/>
      <c r="X139" s="117">
        <f t="shared" si="2"/>
        <v>0</v>
      </c>
      <c r="Y139" s="129"/>
    </row>
    <row r="140" spans="1:25" ht="15.75">
      <c r="A140" s="469"/>
      <c r="B140" s="469"/>
      <c r="C140" s="469"/>
      <c r="D140" s="106">
        <v>132</v>
      </c>
      <c r="E140" s="106" t="s">
        <v>219</v>
      </c>
      <c r="F140" s="120"/>
      <c r="G140" s="120"/>
      <c r="H140" s="120"/>
      <c r="I140" s="120"/>
      <c r="J140" s="116">
        <f t="shared" si="13"/>
        <v>0</v>
      </c>
      <c r="K140" s="120"/>
      <c r="L140" s="120"/>
      <c r="M140" s="120"/>
      <c r="N140" s="120"/>
      <c r="O140" s="120"/>
      <c r="P140" s="116">
        <f t="shared" si="14"/>
        <v>0</v>
      </c>
      <c r="Q140" s="120"/>
      <c r="R140" s="120"/>
      <c r="S140" s="120"/>
      <c r="T140" s="120"/>
      <c r="U140" s="120"/>
      <c r="V140" s="120"/>
      <c r="W140" s="117"/>
      <c r="X140" s="117">
        <f t="shared" si="2"/>
        <v>0</v>
      </c>
      <c r="Y140" s="98"/>
    </row>
    <row r="141" spans="1:25" ht="15.75">
      <c r="A141" s="469"/>
      <c r="B141" s="469"/>
      <c r="C141" s="469"/>
      <c r="D141" s="106">
        <v>133</v>
      </c>
      <c r="E141" s="106" t="s">
        <v>220</v>
      </c>
      <c r="F141" s="120"/>
      <c r="G141" s="120"/>
      <c r="H141" s="120"/>
      <c r="I141" s="120"/>
      <c r="J141" s="116">
        <f t="shared" si="13"/>
        <v>0</v>
      </c>
      <c r="K141" s="120"/>
      <c r="L141" s="120"/>
      <c r="M141" s="120"/>
      <c r="N141" s="120"/>
      <c r="O141" s="120"/>
      <c r="P141" s="116">
        <f t="shared" si="14"/>
        <v>0</v>
      </c>
      <c r="Q141" s="120"/>
      <c r="R141" s="120"/>
      <c r="S141" s="120"/>
      <c r="T141" s="120"/>
      <c r="U141" s="120"/>
      <c r="V141" s="120"/>
      <c r="W141" s="117"/>
      <c r="X141" s="117">
        <f t="shared" si="2"/>
        <v>0</v>
      </c>
      <c r="Y141" s="98"/>
    </row>
    <row r="142" spans="1:25" ht="109.5" customHeight="1">
      <c r="A142" s="469"/>
      <c r="B142" s="469"/>
      <c r="C142" s="469"/>
      <c r="D142" s="106">
        <v>134</v>
      </c>
      <c r="E142" s="106" t="s">
        <v>221</v>
      </c>
      <c r="F142" s="120"/>
      <c r="G142" s="120"/>
      <c r="H142" s="120"/>
      <c r="I142" s="120"/>
      <c r="J142" s="116">
        <f t="shared" si="13"/>
        <v>0</v>
      </c>
      <c r="K142" s="120"/>
      <c r="L142" s="120"/>
      <c r="M142" s="120"/>
      <c r="N142" s="120"/>
      <c r="O142" s="120"/>
      <c r="P142" s="116">
        <f t="shared" si="14"/>
        <v>0</v>
      </c>
      <c r="Q142" s="120"/>
      <c r="R142" s="120"/>
      <c r="S142" s="122"/>
      <c r="T142" s="122">
        <f>(19*0.025*12)</f>
        <v>5.7</v>
      </c>
      <c r="U142" s="120"/>
      <c r="V142" s="120"/>
      <c r="W142" s="117"/>
      <c r="X142" s="117">
        <f t="shared" si="2"/>
        <v>5.7</v>
      </c>
      <c r="Y142" s="164" t="s">
        <v>668</v>
      </c>
    </row>
    <row r="143" spans="1:25" ht="31.5">
      <c r="A143" s="469"/>
      <c r="B143" s="469"/>
      <c r="C143" s="469"/>
      <c r="D143" s="106">
        <v>135</v>
      </c>
      <c r="E143" s="106" t="s">
        <v>223</v>
      </c>
      <c r="F143" s="120"/>
      <c r="G143" s="120"/>
      <c r="H143" s="120"/>
      <c r="I143" s="120"/>
      <c r="J143" s="116">
        <f t="shared" si="13"/>
        <v>0</v>
      </c>
      <c r="K143" s="120"/>
      <c r="L143" s="120"/>
      <c r="M143" s="120"/>
      <c r="N143" s="120"/>
      <c r="O143" s="120"/>
      <c r="P143" s="116">
        <f t="shared" si="14"/>
        <v>0</v>
      </c>
      <c r="Q143" s="120"/>
      <c r="R143" s="120"/>
      <c r="S143" s="120"/>
      <c r="T143" s="120"/>
      <c r="U143" s="120"/>
      <c r="V143" s="120"/>
      <c r="W143" s="117"/>
      <c r="X143" s="117">
        <f t="shared" si="2"/>
        <v>0</v>
      </c>
      <c r="Y143" s="98"/>
    </row>
    <row r="144" spans="1:25" ht="47.25">
      <c r="A144" s="469"/>
      <c r="B144" s="469"/>
      <c r="C144" s="469"/>
      <c r="D144" s="106">
        <v>136</v>
      </c>
      <c r="E144" s="106" t="s">
        <v>224</v>
      </c>
      <c r="F144" s="120"/>
      <c r="G144" s="120"/>
      <c r="H144" s="120"/>
      <c r="I144" s="120"/>
      <c r="J144" s="116">
        <f t="shared" si="13"/>
        <v>0</v>
      </c>
      <c r="K144" s="120"/>
      <c r="L144" s="120"/>
      <c r="M144" s="120"/>
      <c r="N144" s="120"/>
      <c r="O144" s="120"/>
      <c r="P144" s="116">
        <f t="shared" si="14"/>
        <v>0</v>
      </c>
      <c r="Q144" s="120"/>
      <c r="R144" s="120"/>
      <c r="S144" s="122"/>
      <c r="T144" s="122"/>
      <c r="U144" s="120"/>
      <c r="V144" s="120"/>
      <c r="W144" s="117"/>
      <c r="X144" s="117">
        <f t="shared" si="2"/>
        <v>0</v>
      </c>
      <c r="Y144" s="98"/>
    </row>
    <row r="145" spans="1:25" ht="15.75">
      <c r="A145" s="469"/>
      <c r="B145" s="476" t="s">
        <v>225</v>
      </c>
      <c r="C145" s="476" t="s">
        <v>226</v>
      </c>
      <c r="D145" s="106">
        <v>137</v>
      </c>
      <c r="E145" s="106" t="s">
        <v>227</v>
      </c>
      <c r="F145" s="120"/>
      <c r="G145" s="120"/>
      <c r="H145" s="120"/>
      <c r="I145" s="120"/>
      <c r="J145" s="116">
        <f t="shared" si="13"/>
        <v>0</v>
      </c>
      <c r="K145" s="120"/>
      <c r="L145" s="120"/>
      <c r="M145" s="120"/>
      <c r="N145" s="120"/>
      <c r="O145" s="120"/>
      <c r="P145" s="116">
        <f t="shared" si="14"/>
        <v>0</v>
      </c>
      <c r="Q145" s="122"/>
      <c r="R145" s="122"/>
      <c r="S145" s="122"/>
      <c r="T145" s="122"/>
      <c r="U145" s="120"/>
      <c r="V145" s="120"/>
      <c r="W145" s="117"/>
      <c r="X145" s="117">
        <f t="shared" si="2"/>
        <v>0</v>
      </c>
      <c r="Y145" s="98"/>
    </row>
    <row r="146" spans="1:25" ht="60.75" customHeight="1">
      <c r="A146" s="469"/>
      <c r="B146" s="469"/>
      <c r="C146" s="469"/>
      <c r="D146" s="106">
        <v>138</v>
      </c>
      <c r="E146" s="106" t="s">
        <v>228</v>
      </c>
      <c r="F146" s="120"/>
      <c r="G146" s="120"/>
      <c r="H146" s="120"/>
      <c r="I146" s="122"/>
      <c r="J146" s="117">
        <f t="shared" si="13"/>
        <v>0</v>
      </c>
      <c r="K146" s="122"/>
      <c r="L146" s="122"/>
      <c r="M146" s="120"/>
      <c r="N146" s="120"/>
      <c r="O146" s="122"/>
      <c r="P146" s="117">
        <f t="shared" si="14"/>
        <v>0</v>
      </c>
      <c r="Q146" s="122"/>
      <c r="R146" s="122"/>
      <c r="S146" s="120"/>
      <c r="T146" s="120"/>
      <c r="U146" s="120"/>
      <c r="V146" s="120"/>
      <c r="W146" s="117"/>
      <c r="X146" s="117">
        <f t="shared" si="2"/>
        <v>0</v>
      </c>
      <c r="Y146" s="98"/>
    </row>
    <row r="147" spans="1:25" ht="63">
      <c r="A147" s="469"/>
      <c r="B147" s="476" t="s">
        <v>229</v>
      </c>
      <c r="C147" s="476" t="s">
        <v>230</v>
      </c>
      <c r="D147" s="106">
        <v>139</v>
      </c>
      <c r="E147" s="106" t="s">
        <v>231</v>
      </c>
      <c r="F147" s="120"/>
      <c r="G147" s="120"/>
      <c r="H147" s="120"/>
      <c r="I147" s="120"/>
      <c r="J147" s="116">
        <f t="shared" si="13"/>
        <v>0</v>
      </c>
      <c r="K147" s="120"/>
      <c r="L147" s="120"/>
      <c r="M147" s="120"/>
      <c r="N147" s="120"/>
      <c r="O147" s="120"/>
      <c r="P147" s="116">
        <f t="shared" si="14"/>
        <v>0</v>
      </c>
      <c r="Q147" s="120"/>
      <c r="R147" s="120"/>
      <c r="S147" s="122"/>
      <c r="T147" s="122">
        <v>4</v>
      </c>
      <c r="U147" s="120"/>
      <c r="V147" s="120"/>
      <c r="W147" s="117"/>
      <c r="X147" s="117">
        <f t="shared" si="2"/>
        <v>4</v>
      </c>
      <c r="Y147" s="98" t="s">
        <v>669</v>
      </c>
    </row>
    <row r="148" spans="1:25" ht="78.75">
      <c r="A148" s="469"/>
      <c r="B148" s="469"/>
      <c r="C148" s="469"/>
      <c r="D148" s="106">
        <v>140</v>
      </c>
      <c r="E148" s="106" t="s">
        <v>232</v>
      </c>
      <c r="F148" s="120"/>
      <c r="G148" s="120"/>
      <c r="H148" s="120"/>
      <c r="I148" s="120"/>
      <c r="J148" s="116">
        <f t="shared" si="13"/>
        <v>0</v>
      </c>
      <c r="K148" s="120"/>
      <c r="L148" s="120"/>
      <c r="M148" s="120"/>
      <c r="N148" s="120"/>
      <c r="O148" s="120"/>
      <c r="P148" s="116">
        <f t="shared" si="14"/>
        <v>0</v>
      </c>
      <c r="Q148" s="120"/>
      <c r="R148" s="120"/>
      <c r="S148" s="122"/>
      <c r="T148" s="122">
        <v>2.4300000000000002</v>
      </c>
      <c r="U148" s="120"/>
      <c r="V148" s="120"/>
      <c r="W148" s="117"/>
      <c r="X148" s="117">
        <f t="shared" si="2"/>
        <v>2.4300000000000002</v>
      </c>
      <c r="Y148" s="98" t="s">
        <v>670</v>
      </c>
    </row>
    <row r="149" spans="1:25" ht="15.75" hidden="1">
      <c r="A149" s="469"/>
      <c r="B149" s="469"/>
      <c r="C149" s="469"/>
      <c r="D149" s="106">
        <v>141</v>
      </c>
      <c r="E149" s="106" t="s">
        <v>233</v>
      </c>
      <c r="F149" s="120"/>
      <c r="G149" s="120"/>
      <c r="H149" s="120"/>
      <c r="I149" s="120"/>
      <c r="J149" s="116">
        <f t="shared" si="13"/>
        <v>0</v>
      </c>
      <c r="K149" s="120"/>
      <c r="L149" s="120"/>
      <c r="M149" s="120"/>
      <c r="N149" s="120"/>
      <c r="O149" s="120"/>
      <c r="P149" s="116">
        <f t="shared" si="14"/>
        <v>0</v>
      </c>
      <c r="Q149" s="120"/>
      <c r="R149" s="120"/>
      <c r="S149" s="120"/>
      <c r="T149" s="120"/>
      <c r="U149" s="120"/>
      <c r="V149" s="120"/>
      <c r="W149" s="117"/>
      <c r="X149" s="117">
        <f t="shared" si="2"/>
        <v>0</v>
      </c>
      <c r="Y149" s="98"/>
    </row>
    <row r="150" spans="1:25" ht="47.25">
      <c r="A150" s="469"/>
      <c r="B150" s="476" t="s">
        <v>234</v>
      </c>
      <c r="C150" s="476" t="s">
        <v>235</v>
      </c>
      <c r="D150" s="106">
        <v>142</v>
      </c>
      <c r="E150" s="106" t="s">
        <v>236</v>
      </c>
      <c r="F150" s="120"/>
      <c r="G150" s="120"/>
      <c r="H150" s="120"/>
      <c r="I150" s="120"/>
      <c r="J150" s="116">
        <f t="shared" si="13"/>
        <v>0</v>
      </c>
      <c r="K150" s="120"/>
      <c r="L150" s="120"/>
      <c r="M150" s="120"/>
      <c r="N150" s="120"/>
      <c r="O150" s="120"/>
      <c r="P150" s="116">
        <f t="shared" si="14"/>
        <v>0</v>
      </c>
      <c r="Q150" s="120"/>
      <c r="R150" s="120"/>
      <c r="S150" s="150"/>
      <c r="T150" s="165">
        <v>2327.5100000000002</v>
      </c>
      <c r="U150" s="120"/>
      <c r="V150" s="120"/>
      <c r="W150" s="117"/>
      <c r="X150" s="117">
        <f t="shared" si="2"/>
        <v>2327.5100000000002</v>
      </c>
      <c r="Y150" s="98" t="s">
        <v>671</v>
      </c>
    </row>
    <row r="151" spans="1:25" ht="47.25">
      <c r="A151" s="469"/>
      <c r="B151" s="469"/>
      <c r="C151" s="469"/>
      <c r="D151" s="106">
        <v>143</v>
      </c>
      <c r="E151" s="106" t="s">
        <v>237</v>
      </c>
      <c r="F151" s="120"/>
      <c r="G151" s="120"/>
      <c r="H151" s="120"/>
      <c r="I151" s="120"/>
      <c r="J151" s="116">
        <f t="shared" si="13"/>
        <v>0</v>
      </c>
      <c r="K151" s="120"/>
      <c r="L151" s="120"/>
      <c r="M151" s="120"/>
      <c r="N151" s="120"/>
      <c r="O151" s="120"/>
      <c r="P151" s="116">
        <f t="shared" si="14"/>
        <v>0</v>
      </c>
      <c r="Q151" s="120"/>
      <c r="R151" s="120"/>
      <c r="S151" s="120"/>
      <c r="T151" s="120"/>
      <c r="U151" s="120"/>
      <c r="V151" s="120"/>
      <c r="W151" s="117"/>
      <c r="X151" s="117">
        <f t="shared" si="2"/>
        <v>0</v>
      </c>
      <c r="Y151" s="98"/>
    </row>
    <row r="152" spans="1:25" ht="15.75">
      <c r="A152" s="469"/>
      <c r="B152" s="469"/>
      <c r="C152" s="469"/>
      <c r="D152" s="106">
        <v>144</v>
      </c>
      <c r="E152" s="106" t="s">
        <v>238</v>
      </c>
      <c r="F152" s="120"/>
      <c r="G152" s="120"/>
      <c r="H152" s="120"/>
      <c r="I152" s="120"/>
      <c r="J152" s="116">
        <f t="shared" si="13"/>
        <v>0</v>
      </c>
      <c r="K152" s="120"/>
      <c r="L152" s="120"/>
      <c r="M152" s="120"/>
      <c r="N152" s="120"/>
      <c r="O152" s="120"/>
      <c r="P152" s="116">
        <f t="shared" si="14"/>
        <v>0</v>
      </c>
      <c r="Q152" s="120"/>
      <c r="R152" s="120"/>
      <c r="S152" s="120"/>
      <c r="T152" s="120"/>
      <c r="U152" s="120"/>
      <c r="V152" s="120"/>
      <c r="W152" s="117"/>
      <c r="X152" s="117">
        <f t="shared" si="2"/>
        <v>0</v>
      </c>
      <c r="Y152" s="98"/>
    </row>
    <row r="153" spans="1:25" ht="47.25">
      <c r="A153" s="469"/>
      <c r="B153" s="469"/>
      <c r="C153" s="469"/>
      <c r="D153" s="106">
        <v>145</v>
      </c>
      <c r="E153" s="106" t="s">
        <v>239</v>
      </c>
      <c r="F153" s="120"/>
      <c r="G153" s="120"/>
      <c r="H153" s="120"/>
      <c r="I153" s="120"/>
      <c r="J153" s="116">
        <f t="shared" si="13"/>
        <v>0</v>
      </c>
      <c r="K153" s="120"/>
      <c r="L153" s="120"/>
      <c r="M153" s="120"/>
      <c r="N153" s="120"/>
      <c r="O153" s="120"/>
      <c r="P153" s="116">
        <f t="shared" si="14"/>
        <v>0</v>
      </c>
      <c r="Q153" s="120"/>
      <c r="R153" s="120"/>
      <c r="S153" s="120"/>
      <c r="T153" s="120"/>
      <c r="U153" s="120"/>
      <c r="V153" s="120"/>
      <c r="W153" s="117"/>
      <c r="X153" s="117">
        <f t="shared" si="2"/>
        <v>0</v>
      </c>
      <c r="Y153" s="98"/>
    </row>
    <row r="154" spans="1:25" ht="110.25">
      <c r="A154" s="469"/>
      <c r="B154" s="106" t="s">
        <v>240</v>
      </c>
      <c r="C154" s="106" t="s">
        <v>241</v>
      </c>
      <c r="D154" s="106">
        <v>146</v>
      </c>
      <c r="E154" s="106" t="s">
        <v>242</v>
      </c>
      <c r="F154" s="120"/>
      <c r="G154" s="120"/>
      <c r="H154" s="120"/>
      <c r="I154" s="120"/>
      <c r="J154" s="116">
        <f t="shared" si="13"/>
        <v>0</v>
      </c>
      <c r="K154" s="120"/>
      <c r="L154" s="120"/>
      <c r="M154" s="120"/>
      <c r="N154" s="120"/>
      <c r="O154" s="120"/>
      <c r="P154" s="116">
        <f t="shared" si="14"/>
        <v>0</v>
      </c>
      <c r="Q154" s="120"/>
      <c r="R154" s="120"/>
      <c r="S154" s="120"/>
      <c r="T154" s="120">
        <f>(0.4*12)+(12*0.1)</f>
        <v>6.0000000000000009</v>
      </c>
      <c r="U154" s="120"/>
      <c r="V154" s="120"/>
      <c r="W154" s="117"/>
      <c r="X154" s="117">
        <f t="shared" si="2"/>
        <v>6.0000000000000009</v>
      </c>
      <c r="Y154" s="98" t="s">
        <v>672</v>
      </c>
    </row>
    <row r="155" spans="1:25" ht="31.5">
      <c r="A155" s="469"/>
      <c r="B155" s="106" t="s">
        <v>243</v>
      </c>
      <c r="C155" s="106" t="s">
        <v>244</v>
      </c>
      <c r="D155" s="106">
        <v>147</v>
      </c>
      <c r="E155" s="106" t="s">
        <v>125</v>
      </c>
      <c r="F155" s="120"/>
      <c r="G155" s="120"/>
      <c r="H155" s="120"/>
      <c r="I155" s="120"/>
      <c r="J155" s="116">
        <f t="shared" si="13"/>
        <v>0</v>
      </c>
      <c r="K155" s="120"/>
      <c r="L155" s="120"/>
      <c r="M155" s="120"/>
      <c r="N155" s="120"/>
      <c r="O155" s="120"/>
      <c r="P155" s="116">
        <f t="shared" si="14"/>
        <v>0</v>
      </c>
      <c r="Q155" s="120"/>
      <c r="R155" s="120"/>
      <c r="S155" s="120"/>
      <c r="T155" s="120"/>
      <c r="U155" s="120"/>
      <c r="V155" s="120"/>
      <c r="W155" s="117"/>
      <c r="X155" s="117">
        <f t="shared" si="2"/>
        <v>0</v>
      </c>
      <c r="Y155" s="98"/>
    </row>
    <row r="156" spans="1:25" ht="47.25" hidden="1">
      <c r="A156" s="469"/>
      <c r="B156" s="106" t="s">
        <v>245</v>
      </c>
      <c r="C156" s="106" t="s">
        <v>246</v>
      </c>
      <c r="D156" s="106">
        <v>148</v>
      </c>
      <c r="E156" s="106" t="s">
        <v>247</v>
      </c>
      <c r="F156" s="120"/>
      <c r="G156" s="120"/>
      <c r="H156" s="120"/>
      <c r="I156" s="120"/>
      <c r="J156" s="116">
        <f t="shared" si="13"/>
        <v>0</v>
      </c>
      <c r="K156" s="120"/>
      <c r="L156" s="120"/>
      <c r="M156" s="120"/>
      <c r="N156" s="120"/>
      <c r="O156" s="120"/>
      <c r="P156" s="116">
        <f t="shared" si="14"/>
        <v>0</v>
      </c>
      <c r="Q156" s="120"/>
      <c r="R156" s="120"/>
      <c r="S156" s="122"/>
      <c r="T156" s="122"/>
      <c r="U156" s="120"/>
      <c r="V156" s="120"/>
      <c r="W156" s="117"/>
      <c r="X156" s="117">
        <f t="shared" si="2"/>
        <v>0</v>
      </c>
      <c r="Y156" s="98"/>
    </row>
    <row r="157" spans="1:25" ht="78.75">
      <c r="A157" s="469"/>
      <c r="B157" s="106" t="s">
        <v>248</v>
      </c>
      <c r="C157" s="106" t="s">
        <v>249</v>
      </c>
      <c r="D157" s="106">
        <v>149</v>
      </c>
      <c r="E157" s="106" t="s">
        <v>250</v>
      </c>
      <c r="F157" s="151"/>
      <c r="G157" s="151"/>
      <c r="H157" s="151"/>
      <c r="I157" s="151"/>
      <c r="J157" s="116">
        <f t="shared" si="13"/>
        <v>0</v>
      </c>
      <c r="K157" s="151"/>
      <c r="L157" s="151"/>
      <c r="M157" s="151"/>
      <c r="N157" s="151"/>
      <c r="O157" s="151"/>
      <c r="P157" s="116">
        <f t="shared" si="14"/>
        <v>0</v>
      </c>
      <c r="Q157" s="151"/>
      <c r="R157" s="151"/>
      <c r="S157" s="122"/>
      <c r="T157" s="122">
        <f>(0.03*264)</f>
        <v>7.92</v>
      </c>
      <c r="U157" s="151"/>
      <c r="V157" s="151"/>
      <c r="W157" s="117"/>
      <c r="X157" s="117">
        <f t="shared" si="2"/>
        <v>7.92</v>
      </c>
      <c r="Y157" s="98" t="s">
        <v>673</v>
      </c>
    </row>
    <row r="158" spans="1:25" ht="36" customHeight="1">
      <c r="A158" s="469"/>
      <c r="B158" s="478" t="s">
        <v>251</v>
      </c>
      <c r="C158" s="469"/>
      <c r="D158" s="469"/>
      <c r="E158" s="99"/>
      <c r="F158" s="100">
        <f t="shared" ref="F158:W158" si="15">SUM(F135:F157)</f>
        <v>0</v>
      </c>
      <c r="G158" s="100">
        <f t="shared" si="15"/>
        <v>0</v>
      </c>
      <c r="H158" s="100">
        <f t="shared" si="15"/>
        <v>0</v>
      </c>
      <c r="I158" s="100">
        <f t="shared" si="15"/>
        <v>0</v>
      </c>
      <c r="J158" s="100">
        <f t="shared" si="15"/>
        <v>0</v>
      </c>
      <c r="K158" s="100">
        <f t="shared" si="15"/>
        <v>0</v>
      </c>
      <c r="L158" s="100">
        <f t="shared" si="15"/>
        <v>0</v>
      </c>
      <c r="M158" s="100">
        <f t="shared" si="15"/>
        <v>0</v>
      </c>
      <c r="N158" s="100">
        <f t="shared" si="15"/>
        <v>0</v>
      </c>
      <c r="O158" s="100">
        <f t="shared" si="15"/>
        <v>0</v>
      </c>
      <c r="P158" s="100">
        <f t="shared" si="15"/>
        <v>0</v>
      </c>
      <c r="Q158" s="100">
        <f t="shared" si="15"/>
        <v>0</v>
      </c>
      <c r="R158" s="100">
        <f t="shared" si="15"/>
        <v>0</v>
      </c>
      <c r="S158" s="100">
        <f t="shared" si="15"/>
        <v>0</v>
      </c>
      <c r="T158" s="100">
        <f t="shared" si="15"/>
        <v>2353.5600000000004</v>
      </c>
      <c r="U158" s="100">
        <f t="shared" si="15"/>
        <v>0</v>
      </c>
      <c r="V158" s="100">
        <f t="shared" si="15"/>
        <v>0</v>
      </c>
      <c r="W158" s="102">
        <f t="shared" si="15"/>
        <v>0</v>
      </c>
      <c r="X158" s="99">
        <f t="shared" si="2"/>
        <v>2353.5600000000004</v>
      </c>
      <c r="Y158" s="107"/>
    </row>
    <row r="159" spans="1:25" ht="63">
      <c r="A159" s="477" t="s">
        <v>252</v>
      </c>
      <c r="B159" s="476" t="s">
        <v>253</v>
      </c>
      <c r="C159" s="476" t="s">
        <v>211</v>
      </c>
      <c r="D159" s="106">
        <v>150</v>
      </c>
      <c r="E159" s="106" t="s">
        <v>239</v>
      </c>
      <c r="F159" s="120"/>
      <c r="G159" s="121"/>
      <c r="H159" s="121">
        <v>195</v>
      </c>
      <c r="I159" s="121"/>
      <c r="J159" s="125">
        <f t="shared" ref="J159:J215" si="16">H159+I159</f>
        <v>195</v>
      </c>
      <c r="K159" s="120"/>
      <c r="L159" s="120"/>
      <c r="M159" s="120"/>
      <c r="N159" s="120"/>
      <c r="O159" s="120"/>
      <c r="P159" s="116">
        <f t="shared" ref="P159:P215" si="17">N159+O159</f>
        <v>0</v>
      </c>
      <c r="Q159" s="120"/>
      <c r="R159" s="120"/>
      <c r="S159" s="121"/>
      <c r="T159" s="121">
        <v>1</v>
      </c>
      <c r="U159" s="120"/>
      <c r="V159" s="120"/>
      <c r="W159" s="117"/>
      <c r="X159" s="117">
        <f t="shared" si="2"/>
        <v>196</v>
      </c>
      <c r="Y159" s="98" t="s">
        <v>1007</v>
      </c>
    </row>
    <row r="160" spans="1:25" ht="31.5">
      <c r="A160" s="469"/>
      <c r="B160" s="469"/>
      <c r="C160" s="469"/>
      <c r="D160" s="106">
        <v>151</v>
      </c>
      <c r="E160" s="106" t="s">
        <v>254</v>
      </c>
      <c r="F160" s="120"/>
      <c r="G160" s="121"/>
      <c r="H160" s="121"/>
      <c r="I160" s="121"/>
      <c r="J160" s="125">
        <f t="shared" si="16"/>
        <v>0</v>
      </c>
      <c r="K160" s="122"/>
      <c r="L160" s="122"/>
      <c r="M160" s="120"/>
      <c r="N160" s="120"/>
      <c r="O160" s="120"/>
      <c r="P160" s="116">
        <f t="shared" si="17"/>
        <v>0</v>
      </c>
      <c r="Q160" s="120"/>
      <c r="R160" s="120"/>
      <c r="S160" s="121"/>
      <c r="T160" s="121"/>
      <c r="U160" s="120"/>
      <c r="V160" s="120"/>
      <c r="W160" s="117"/>
      <c r="X160" s="117">
        <f t="shared" si="2"/>
        <v>0</v>
      </c>
      <c r="Y160" s="98"/>
    </row>
    <row r="161" spans="1:25" ht="78.75" customHeight="1">
      <c r="A161" s="469"/>
      <c r="B161" s="469"/>
      <c r="C161" s="469"/>
      <c r="D161" s="106">
        <v>152</v>
      </c>
      <c r="E161" s="106" t="s">
        <v>255</v>
      </c>
      <c r="F161" s="120"/>
      <c r="G161" s="120"/>
      <c r="H161" s="120"/>
      <c r="I161" s="120"/>
      <c r="J161" s="116">
        <f t="shared" si="16"/>
        <v>0</v>
      </c>
      <c r="K161" s="120"/>
      <c r="L161" s="120"/>
      <c r="M161" s="120"/>
      <c r="N161" s="120"/>
      <c r="O161" s="120"/>
      <c r="P161" s="116">
        <f t="shared" si="17"/>
        <v>0</v>
      </c>
      <c r="Q161" s="120"/>
      <c r="R161" s="120"/>
      <c r="S161" s="121"/>
      <c r="T161" s="98">
        <f>487*3600/100000</f>
        <v>17.532</v>
      </c>
      <c r="U161" s="166"/>
      <c r="V161" s="120"/>
      <c r="W161" s="117"/>
      <c r="X161" s="117">
        <f t="shared" si="2"/>
        <v>17.532</v>
      </c>
      <c r="Y161" s="98" t="s">
        <v>1009</v>
      </c>
    </row>
    <row r="162" spans="1:25" ht="38.25" customHeight="1">
      <c r="A162" s="469"/>
      <c r="B162" s="469"/>
      <c r="C162" s="469"/>
      <c r="D162" s="106">
        <v>153</v>
      </c>
      <c r="E162" s="106" t="s">
        <v>256</v>
      </c>
      <c r="F162" s="151"/>
      <c r="G162" s="151"/>
      <c r="H162" s="151"/>
      <c r="I162" s="151"/>
      <c r="J162" s="116">
        <f t="shared" si="16"/>
        <v>0</v>
      </c>
      <c r="K162" s="151"/>
      <c r="L162" s="151"/>
      <c r="M162" s="151"/>
      <c r="N162" s="151"/>
      <c r="O162" s="151"/>
      <c r="P162" s="116">
        <f t="shared" si="17"/>
        <v>0</v>
      </c>
      <c r="Q162" s="151"/>
      <c r="R162" s="151"/>
      <c r="S162" s="151"/>
      <c r="T162" s="151"/>
      <c r="U162" s="151"/>
      <c r="V162" s="151"/>
      <c r="W162" s="117"/>
      <c r="X162" s="117">
        <f t="shared" si="2"/>
        <v>0</v>
      </c>
      <c r="Y162" s="98"/>
    </row>
    <row r="163" spans="1:25" ht="31.5">
      <c r="A163" s="469"/>
      <c r="B163" s="476" t="s">
        <v>257</v>
      </c>
      <c r="C163" s="476" t="s">
        <v>258</v>
      </c>
      <c r="D163" s="106">
        <v>154</v>
      </c>
      <c r="E163" s="106" t="s">
        <v>259</v>
      </c>
      <c r="F163" s="120"/>
      <c r="G163" s="120"/>
      <c r="H163" s="120"/>
      <c r="I163" s="120"/>
      <c r="J163" s="116">
        <f t="shared" si="16"/>
        <v>0</v>
      </c>
      <c r="K163" s="120"/>
      <c r="L163" s="120"/>
      <c r="M163" s="120"/>
      <c r="N163" s="120"/>
      <c r="O163" s="122"/>
      <c r="P163" s="117">
        <f t="shared" si="17"/>
        <v>0</v>
      </c>
      <c r="Q163" s="122"/>
      <c r="R163" s="122"/>
      <c r="S163" s="120"/>
      <c r="T163" s="120"/>
      <c r="U163" s="120"/>
      <c r="V163" s="120"/>
      <c r="W163" s="117"/>
      <c r="X163" s="117">
        <f t="shared" si="2"/>
        <v>0</v>
      </c>
      <c r="Y163" s="98"/>
    </row>
    <row r="164" spans="1:25" ht="31.5">
      <c r="A164" s="469"/>
      <c r="B164" s="469"/>
      <c r="C164" s="469"/>
      <c r="D164" s="106">
        <v>155</v>
      </c>
      <c r="E164" s="106" t="s">
        <v>260</v>
      </c>
      <c r="F164" s="120"/>
      <c r="G164" s="120"/>
      <c r="H164" s="120"/>
      <c r="I164" s="120"/>
      <c r="J164" s="116">
        <f t="shared" si="16"/>
        <v>0</v>
      </c>
      <c r="K164" s="120"/>
      <c r="L164" s="120"/>
      <c r="M164" s="120"/>
      <c r="N164" s="120"/>
      <c r="O164" s="120"/>
      <c r="P164" s="116">
        <f t="shared" si="17"/>
        <v>0</v>
      </c>
      <c r="Q164" s="120"/>
      <c r="R164" s="120"/>
      <c r="S164" s="121"/>
      <c r="T164" s="121"/>
      <c r="U164" s="120"/>
      <c r="V164" s="120"/>
      <c r="W164" s="117"/>
      <c r="X164" s="117">
        <f t="shared" si="2"/>
        <v>0</v>
      </c>
      <c r="Y164" s="98"/>
    </row>
    <row r="165" spans="1:25" ht="78.75">
      <c r="A165" s="469"/>
      <c r="B165" s="469"/>
      <c r="C165" s="469"/>
      <c r="D165" s="106">
        <v>156</v>
      </c>
      <c r="E165" s="106" t="s">
        <v>261</v>
      </c>
      <c r="F165" s="120"/>
      <c r="G165" s="120"/>
      <c r="H165" s="120"/>
      <c r="I165" s="121"/>
      <c r="J165" s="125">
        <f t="shared" si="16"/>
        <v>0</v>
      </c>
      <c r="K165" s="122"/>
      <c r="L165" s="122"/>
      <c r="M165" s="120"/>
      <c r="N165" s="120"/>
      <c r="O165" s="120"/>
      <c r="P165" s="116">
        <f t="shared" si="17"/>
        <v>0</v>
      </c>
      <c r="Q165" s="120"/>
      <c r="R165" s="120"/>
      <c r="S165" s="121"/>
      <c r="T165" s="121">
        <v>1</v>
      </c>
      <c r="U165" s="166"/>
      <c r="V165" s="120"/>
      <c r="W165" s="117"/>
      <c r="X165" s="117">
        <f t="shared" si="2"/>
        <v>1</v>
      </c>
      <c r="Y165" s="98" t="s">
        <v>809</v>
      </c>
    </row>
    <row r="166" spans="1:25" ht="31.5">
      <c r="A166" s="469"/>
      <c r="B166" s="469"/>
      <c r="C166" s="469"/>
      <c r="D166" s="106">
        <v>157</v>
      </c>
      <c r="E166" s="106" t="s">
        <v>262</v>
      </c>
      <c r="F166" s="120"/>
      <c r="G166" s="120"/>
      <c r="H166" s="120"/>
      <c r="I166" s="120"/>
      <c r="J166" s="116">
        <f t="shared" si="16"/>
        <v>0</v>
      </c>
      <c r="K166" s="120"/>
      <c r="L166" s="120"/>
      <c r="M166" s="120"/>
      <c r="N166" s="120"/>
      <c r="O166" s="120"/>
      <c r="P166" s="116">
        <f t="shared" si="17"/>
        <v>0</v>
      </c>
      <c r="Q166" s="120"/>
      <c r="R166" s="120"/>
      <c r="S166" s="120"/>
      <c r="T166" s="120"/>
      <c r="U166" s="120"/>
      <c r="V166" s="120"/>
      <c r="W166" s="117"/>
      <c r="X166" s="117">
        <f t="shared" si="2"/>
        <v>0</v>
      </c>
      <c r="Y166" s="98"/>
    </row>
    <row r="167" spans="1:25" ht="31.5">
      <c r="A167" s="469"/>
      <c r="B167" s="469"/>
      <c r="C167" s="469"/>
      <c r="D167" s="106">
        <v>158</v>
      </c>
      <c r="E167" s="106" t="s">
        <v>263</v>
      </c>
      <c r="F167" s="120"/>
      <c r="G167" s="120"/>
      <c r="H167" s="120"/>
      <c r="I167" s="120"/>
      <c r="J167" s="116">
        <f t="shared" si="16"/>
        <v>0</v>
      </c>
      <c r="K167" s="120"/>
      <c r="L167" s="120"/>
      <c r="M167" s="120"/>
      <c r="N167" s="120"/>
      <c r="O167" s="120"/>
      <c r="P167" s="116">
        <f t="shared" si="17"/>
        <v>0</v>
      </c>
      <c r="Q167" s="120"/>
      <c r="R167" s="120"/>
      <c r="S167" s="120"/>
      <c r="T167" s="120"/>
      <c r="U167" s="120"/>
      <c r="V167" s="120"/>
      <c r="W167" s="117"/>
      <c r="X167" s="117">
        <f t="shared" si="2"/>
        <v>0</v>
      </c>
      <c r="Y167" s="98"/>
    </row>
    <row r="168" spans="1:25" ht="94.5">
      <c r="A168" s="469"/>
      <c r="B168" s="476" t="s">
        <v>264</v>
      </c>
      <c r="C168" s="476" t="s">
        <v>216</v>
      </c>
      <c r="D168" s="106">
        <v>159</v>
      </c>
      <c r="E168" s="106" t="s">
        <v>217</v>
      </c>
      <c r="F168" s="120"/>
      <c r="G168" s="120"/>
      <c r="H168" s="120"/>
      <c r="I168" s="120"/>
      <c r="J168" s="116">
        <f t="shared" si="16"/>
        <v>0</v>
      </c>
      <c r="K168" s="120"/>
      <c r="L168" s="120"/>
      <c r="M168" s="120"/>
      <c r="N168" s="120"/>
      <c r="O168" s="122"/>
      <c r="P168" s="117">
        <f t="shared" si="17"/>
        <v>0</v>
      </c>
      <c r="Q168" s="120"/>
      <c r="R168" s="120"/>
      <c r="S168" s="121"/>
      <c r="T168" s="121">
        <v>62.472000000000001</v>
      </c>
      <c r="U168" s="116"/>
      <c r="V168" s="120"/>
      <c r="W168" s="117"/>
      <c r="X168" s="117">
        <f t="shared" si="2"/>
        <v>62.472000000000001</v>
      </c>
      <c r="Y168" s="98" t="s">
        <v>994</v>
      </c>
    </row>
    <row r="169" spans="1:25" ht="15.75">
      <c r="A169" s="469"/>
      <c r="B169" s="469"/>
      <c r="C169" s="469"/>
      <c r="D169" s="106">
        <v>160</v>
      </c>
      <c r="E169" s="106" t="s">
        <v>265</v>
      </c>
      <c r="F169" s="120"/>
      <c r="G169" s="120"/>
      <c r="H169" s="120"/>
      <c r="I169" s="120"/>
      <c r="J169" s="116">
        <f t="shared" si="16"/>
        <v>0</v>
      </c>
      <c r="K169" s="120"/>
      <c r="L169" s="120"/>
      <c r="M169" s="120"/>
      <c r="N169" s="120"/>
      <c r="O169" s="120"/>
      <c r="P169" s="116">
        <f t="shared" si="17"/>
        <v>0</v>
      </c>
      <c r="Q169" s="120"/>
      <c r="R169" s="120"/>
      <c r="S169" s="120"/>
      <c r="T169" s="120"/>
      <c r="U169" s="120"/>
      <c r="V169" s="120"/>
      <c r="W169" s="117"/>
      <c r="X169" s="117">
        <f t="shared" si="2"/>
        <v>0</v>
      </c>
      <c r="Y169" s="129"/>
    </row>
    <row r="170" spans="1:25" ht="15.75">
      <c r="A170" s="469"/>
      <c r="B170" s="469"/>
      <c r="C170" s="469"/>
      <c r="D170" s="106">
        <v>161</v>
      </c>
      <c r="E170" s="106" t="s">
        <v>219</v>
      </c>
      <c r="F170" s="120"/>
      <c r="G170" s="120"/>
      <c r="H170" s="120"/>
      <c r="I170" s="120"/>
      <c r="J170" s="116">
        <f t="shared" si="16"/>
        <v>0</v>
      </c>
      <c r="K170" s="120"/>
      <c r="L170" s="120"/>
      <c r="M170" s="120"/>
      <c r="N170" s="120"/>
      <c r="O170" s="120"/>
      <c r="P170" s="116">
        <f t="shared" si="17"/>
        <v>0</v>
      </c>
      <c r="Q170" s="120"/>
      <c r="R170" s="120"/>
      <c r="S170" s="120"/>
      <c r="T170" s="120"/>
      <c r="U170" s="120"/>
      <c r="V170" s="120"/>
      <c r="W170" s="117"/>
      <c r="X170" s="117">
        <f t="shared" si="2"/>
        <v>0</v>
      </c>
      <c r="Y170" s="98"/>
    </row>
    <row r="171" spans="1:25" ht="15.75">
      <c r="A171" s="469"/>
      <c r="B171" s="469"/>
      <c r="C171" s="469"/>
      <c r="D171" s="106">
        <v>162</v>
      </c>
      <c r="E171" s="106" t="s">
        <v>220</v>
      </c>
      <c r="F171" s="120"/>
      <c r="G171" s="120"/>
      <c r="H171" s="120"/>
      <c r="I171" s="120"/>
      <c r="J171" s="116">
        <f t="shared" si="16"/>
        <v>0</v>
      </c>
      <c r="K171" s="120"/>
      <c r="L171" s="120"/>
      <c r="M171" s="120"/>
      <c r="N171" s="120"/>
      <c r="O171" s="120"/>
      <c r="P171" s="116">
        <f t="shared" si="17"/>
        <v>0</v>
      </c>
      <c r="Q171" s="120"/>
      <c r="R171" s="120"/>
      <c r="S171" s="120"/>
      <c r="T171" s="120"/>
      <c r="U171" s="120"/>
      <c r="V171" s="120"/>
      <c r="W171" s="117"/>
      <c r="X171" s="117">
        <f t="shared" si="2"/>
        <v>0</v>
      </c>
      <c r="Y171" s="98"/>
    </row>
    <row r="172" spans="1:25" ht="47.25">
      <c r="A172" s="469"/>
      <c r="B172" s="469"/>
      <c r="C172" s="469"/>
      <c r="D172" s="106">
        <v>163</v>
      </c>
      <c r="E172" s="106" t="s">
        <v>266</v>
      </c>
      <c r="F172" s="120"/>
      <c r="G172" s="120"/>
      <c r="H172" s="120"/>
      <c r="I172" s="120"/>
      <c r="J172" s="116">
        <f t="shared" si="16"/>
        <v>0</v>
      </c>
      <c r="K172" s="120"/>
      <c r="L172" s="120"/>
      <c r="M172" s="120"/>
      <c r="N172" s="120"/>
      <c r="O172" s="120"/>
      <c r="P172" s="116">
        <f t="shared" si="17"/>
        <v>0</v>
      </c>
      <c r="Q172" s="120"/>
      <c r="R172" s="120"/>
      <c r="S172" s="121"/>
      <c r="T172" s="121"/>
      <c r="U172" s="120"/>
      <c r="V172" s="120"/>
      <c r="W172" s="117"/>
      <c r="X172" s="117">
        <f t="shared" si="2"/>
        <v>0</v>
      </c>
      <c r="Y172" s="98"/>
    </row>
    <row r="173" spans="1:25" ht="15.75">
      <c r="A173" s="469"/>
      <c r="B173" s="476" t="s">
        <v>267</v>
      </c>
      <c r="C173" s="476" t="s">
        <v>268</v>
      </c>
      <c r="D173" s="106">
        <v>164</v>
      </c>
      <c r="E173" s="106" t="s">
        <v>269</v>
      </c>
      <c r="F173" s="120"/>
      <c r="G173" s="121"/>
      <c r="H173" s="121"/>
      <c r="I173" s="121"/>
      <c r="J173" s="125">
        <f t="shared" si="16"/>
        <v>0</v>
      </c>
      <c r="K173" s="120"/>
      <c r="L173" s="120"/>
      <c r="M173" s="120"/>
      <c r="N173" s="120"/>
      <c r="O173" s="120"/>
      <c r="P173" s="116">
        <f t="shared" si="17"/>
        <v>0</v>
      </c>
      <c r="Q173" s="120"/>
      <c r="R173" s="120"/>
      <c r="S173" s="120"/>
      <c r="T173" s="120"/>
      <c r="U173" s="120"/>
      <c r="V173" s="120"/>
      <c r="W173" s="117"/>
      <c r="X173" s="117">
        <f t="shared" si="2"/>
        <v>0</v>
      </c>
      <c r="Y173" s="98"/>
    </row>
    <row r="174" spans="1:25" ht="15.75">
      <c r="A174" s="469"/>
      <c r="B174" s="469"/>
      <c r="C174" s="469"/>
      <c r="D174" s="106">
        <v>165</v>
      </c>
      <c r="E174" s="106" t="s">
        <v>270</v>
      </c>
      <c r="F174" s="120"/>
      <c r="G174" s="121"/>
      <c r="H174" s="121"/>
      <c r="I174" s="121"/>
      <c r="J174" s="125">
        <f t="shared" si="16"/>
        <v>0</v>
      </c>
      <c r="K174" s="120"/>
      <c r="L174" s="120"/>
      <c r="M174" s="120"/>
      <c r="N174" s="120"/>
      <c r="O174" s="120"/>
      <c r="P174" s="116">
        <f t="shared" si="17"/>
        <v>0</v>
      </c>
      <c r="Q174" s="120"/>
      <c r="R174" s="120"/>
      <c r="S174" s="120"/>
      <c r="T174" s="120"/>
      <c r="U174" s="120"/>
      <c r="V174" s="120"/>
      <c r="W174" s="117"/>
      <c r="X174" s="117">
        <f t="shared" si="2"/>
        <v>0</v>
      </c>
      <c r="Y174" s="98"/>
    </row>
    <row r="175" spans="1:25" ht="31.5">
      <c r="A175" s="469"/>
      <c r="B175" s="469"/>
      <c r="C175" s="469"/>
      <c r="D175" s="106">
        <v>166</v>
      </c>
      <c r="E175" s="106" t="s">
        <v>271</v>
      </c>
      <c r="F175" s="120"/>
      <c r="G175" s="121"/>
      <c r="H175" s="121"/>
      <c r="I175" s="121"/>
      <c r="J175" s="125">
        <f t="shared" si="16"/>
        <v>0</v>
      </c>
      <c r="K175" s="120"/>
      <c r="L175" s="120"/>
      <c r="M175" s="120"/>
      <c r="N175" s="120"/>
      <c r="O175" s="120"/>
      <c r="P175" s="116">
        <f t="shared" si="17"/>
        <v>0</v>
      </c>
      <c r="Q175" s="120"/>
      <c r="R175" s="120"/>
      <c r="S175" s="120"/>
      <c r="T175" s="120"/>
      <c r="U175" s="120"/>
      <c r="V175" s="120"/>
      <c r="W175" s="117"/>
      <c r="X175" s="117">
        <f t="shared" si="2"/>
        <v>0</v>
      </c>
      <c r="Y175" s="98"/>
    </row>
    <row r="176" spans="1:25" ht="15.75">
      <c r="A176" s="469"/>
      <c r="B176" s="469"/>
      <c r="C176" s="469"/>
      <c r="D176" s="106">
        <v>167</v>
      </c>
      <c r="E176" s="106" t="s">
        <v>272</v>
      </c>
      <c r="F176" s="120"/>
      <c r="G176" s="121"/>
      <c r="H176" s="121"/>
      <c r="I176" s="121"/>
      <c r="J176" s="125">
        <f t="shared" si="16"/>
        <v>0</v>
      </c>
      <c r="K176" s="120"/>
      <c r="L176" s="120"/>
      <c r="M176" s="120"/>
      <c r="N176" s="120"/>
      <c r="O176" s="120"/>
      <c r="P176" s="116">
        <f t="shared" si="17"/>
        <v>0</v>
      </c>
      <c r="Q176" s="120"/>
      <c r="R176" s="120"/>
      <c r="S176" s="120"/>
      <c r="T176" s="120"/>
      <c r="U176" s="120"/>
      <c r="V176" s="120"/>
      <c r="W176" s="117"/>
      <c r="X176" s="117">
        <f t="shared" si="2"/>
        <v>0</v>
      </c>
      <c r="Y176" s="98"/>
    </row>
    <row r="177" spans="1:25" ht="15.75">
      <c r="A177" s="469"/>
      <c r="B177" s="469"/>
      <c r="C177" s="469"/>
      <c r="D177" s="106">
        <v>168</v>
      </c>
      <c r="E177" s="106" t="s">
        <v>273</v>
      </c>
      <c r="F177" s="120"/>
      <c r="G177" s="121"/>
      <c r="H177" s="121"/>
      <c r="I177" s="121"/>
      <c r="J177" s="125">
        <f t="shared" si="16"/>
        <v>0</v>
      </c>
      <c r="K177" s="120"/>
      <c r="L177" s="120"/>
      <c r="M177" s="120"/>
      <c r="N177" s="120"/>
      <c r="O177" s="120"/>
      <c r="P177" s="116">
        <f t="shared" si="17"/>
        <v>0</v>
      </c>
      <c r="Q177" s="120"/>
      <c r="R177" s="120"/>
      <c r="S177" s="120"/>
      <c r="T177" s="120"/>
      <c r="U177" s="120"/>
      <c r="V177" s="120"/>
      <c r="W177" s="117"/>
      <c r="X177" s="117">
        <f t="shared" si="2"/>
        <v>0</v>
      </c>
      <c r="Y177" s="98"/>
    </row>
    <row r="178" spans="1:25" ht="47.25">
      <c r="A178" s="469"/>
      <c r="B178" s="469"/>
      <c r="C178" s="469"/>
      <c r="D178" s="106">
        <v>169</v>
      </c>
      <c r="E178" s="106" t="s">
        <v>274</v>
      </c>
      <c r="F178" s="120"/>
      <c r="G178" s="121"/>
      <c r="H178" s="121"/>
      <c r="I178" s="121"/>
      <c r="J178" s="125">
        <f t="shared" si="16"/>
        <v>0</v>
      </c>
      <c r="K178" s="122"/>
      <c r="L178" s="122"/>
      <c r="M178" s="120"/>
      <c r="N178" s="120"/>
      <c r="O178" s="120"/>
      <c r="P178" s="116">
        <f t="shared" si="17"/>
        <v>0</v>
      </c>
      <c r="Q178" s="120"/>
      <c r="R178" s="120"/>
      <c r="S178" s="120"/>
      <c r="T178" s="120"/>
      <c r="U178" s="120"/>
      <c r="V178" s="120"/>
      <c r="W178" s="117"/>
      <c r="X178" s="117">
        <f t="shared" si="2"/>
        <v>0</v>
      </c>
      <c r="Y178" s="98"/>
    </row>
    <row r="179" spans="1:25" ht="63">
      <c r="A179" s="469"/>
      <c r="B179" s="469"/>
      <c r="C179" s="469"/>
      <c r="D179" s="106">
        <v>170</v>
      </c>
      <c r="E179" s="106" t="s">
        <v>275</v>
      </c>
      <c r="F179" s="120"/>
      <c r="G179" s="120"/>
      <c r="H179" s="120"/>
      <c r="I179" s="120"/>
      <c r="J179" s="116">
        <f t="shared" si="16"/>
        <v>0</v>
      </c>
      <c r="K179" s="120"/>
      <c r="L179" s="120"/>
      <c r="M179" s="120"/>
      <c r="N179" s="120"/>
      <c r="O179" s="120"/>
      <c r="P179" s="116">
        <f t="shared" si="17"/>
        <v>0</v>
      </c>
      <c r="Q179" s="120"/>
      <c r="R179" s="120"/>
      <c r="S179" s="120"/>
      <c r="T179" s="120"/>
      <c r="U179" s="120"/>
      <c r="V179" s="120"/>
      <c r="W179" s="117"/>
      <c r="X179" s="117">
        <f t="shared" si="2"/>
        <v>0</v>
      </c>
      <c r="Y179" s="98"/>
    </row>
    <row r="180" spans="1:25" ht="31.5">
      <c r="A180" s="469"/>
      <c r="B180" s="476" t="s">
        <v>276</v>
      </c>
      <c r="C180" s="476" t="s">
        <v>277</v>
      </c>
      <c r="D180" s="106">
        <v>171</v>
      </c>
      <c r="E180" s="106" t="s">
        <v>278</v>
      </c>
      <c r="F180" s="120"/>
      <c r="G180" s="120"/>
      <c r="H180" s="120"/>
      <c r="I180" s="120"/>
      <c r="J180" s="116">
        <f t="shared" si="16"/>
        <v>0</v>
      </c>
      <c r="K180" s="120"/>
      <c r="L180" s="120"/>
      <c r="M180" s="120"/>
      <c r="N180" s="120"/>
      <c r="O180" s="120"/>
      <c r="P180" s="116">
        <f t="shared" si="17"/>
        <v>0</v>
      </c>
      <c r="Q180" s="120"/>
      <c r="R180" s="120"/>
      <c r="S180" s="120"/>
      <c r="T180" s="120"/>
      <c r="U180" s="120"/>
      <c r="V180" s="120"/>
      <c r="W180" s="117"/>
      <c r="X180" s="117">
        <f t="shared" si="2"/>
        <v>0</v>
      </c>
      <c r="Y180" s="98"/>
    </row>
    <row r="181" spans="1:25" ht="31.5">
      <c r="A181" s="469"/>
      <c r="B181" s="469"/>
      <c r="C181" s="469"/>
      <c r="D181" s="106">
        <v>172</v>
      </c>
      <c r="E181" s="106" t="s">
        <v>279</v>
      </c>
      <c r="F181" s="120"/>
      <c r="G181" s="120"/>
      <c r="H181" s="120"/>
      <c r="I181" s="120"/>
      <c r="J181" s="116">
        <f t="shared" si="16"/>
        <v>0</v>
      </c>
      <c r="K181" s="120"/>
      <c r="L181" s="120"/>
      <c r="M181" s="120"/>
      <c r="N181" s="120"/>
      <c r="O181" s="120"/>
      <c r="P181" s="116">
        <f t="shared" si="17"/>
        <v>0</v>
      </c>
      <c r="Q181" s="120"/>
      <c r="R181" s="120"/>
      <c r="S181" s="122"/>
      <c r="T181" s="122"/>
      <c r="U181" s="120"/>
      <c r="V181" s="120"/>
      <c r="W181" s="117"/>
      <c r="X181" s="117">
        <f t="shared" si="2"/>
        <v>0</v>
      </c>
      <c r="Y181" s="98"/>
    </row>
    <row r="182" spans="1:25" ht="31.5">
      <c r="A182" s="469"/>
      <c r="B182" s="469"/>
      <c r="C182" s="469"/>
      <c r="D182" s="106">
        <v>173</v>
      </c>
      <c r="E182" s="106" t="s">
        <v>280</v>
      </c>
      <c r="F182" s="120"/>
      <c r="G182" s="120"/>
      <c r="H182" s="120"/>
      <c r="I182" s="120"/>
      <c r="J182" s="116">
        <f t="shared" si="16"/>
        <v>0</v>
      </c>
      <c r="K182" s="120"/>
      <c r="L182" s="120"/>
      <c r="M182" s="120"/>
      <c r="N182" s="120"/>
      <c r="O182" s="120"/>
      <c r="P182" s="116">
        <f t="shared" si="17"/>
        <v>0</v>
      </c>
      <c r="Q182" s="120"/>
      <c r="R182" s="120"/>
      <c r="S182" s="120"/>
      <c r="T182" s="120"/>
      <c r="U182" s="120"/>
      <c r="V182" s="120"/>
      <c r="W182" s="117"/>
      <c r="X182" s="117">
        <f t="shared" si="2"/>
        <v>0</v>
      </c>
      <c r="Y182" s="98"/>
    </row>
    <row r="183" spans="1:25" ht="15.75">
      <c r="A183" s="469"/>
      <c r="B183" s="469"/>
      <c r="C183" s="469"/>
      <c r="D183" s="106">
        <v>174</v>
      </c>
      <c r="E183" s="106" t="s">
        <v>281</v>
      </c>
      <c r="F183" s="120"/>
      <c r="G183" s="120"/>
      <c r="H183" s="120"/>
      <c r="I183" s="120"/>
      <c r="J183" s="116">
        <f t="shared" si="16"/>
        <v>0</v>
      </c>
      <c r="K183" s="120"/>
      <c r="L183" s="120"/>
      <c r="M183" s="120"/>
      <c r="N183" s="120"/>
      <c r="O183" s="120"/>
      <c r="P183" s="116">
        <f t="shared" si="17"/>
        <v>0</v>
      </c>
      <c r="Q183" s="120"/>
      <c r="R183" s="120"/>
      <c r="S183" s="122"/>
      <c r="T183" s="122"/>
      <c r="U183" s="120"/>
      <c r="V183" s="120"/>
      <c r="W183" s="117"/>
      <c r="X183" s="117">
        <f t="shared" si="2"/>
        <v>0</v>
      </c>
      <c r="Y183" s="98"/>
    </row>
    <row r="184" spans="1:25" ht="173.25">
      <c r="A184" s="469"/>
      <c r="B184" s="476" t="s">
        <v>282</v>
      </c>
      <c r="C184" s="476" t="s">
        <v>230</v>
      </c>
      <c r="D184" s="106">
        <v>175</v>
      </c>
      <c r="E184" s="106" t="s">
        <v>231</v>
      </c>
      <c r="F184" s="167"/>
      <c r="G184" s="167"/>
      <c r="H184" s="167"/>
      <c r="I184" s="167"/>
      <c r="J184" s="116">
        <f t="shared" si="16"/>
        <v>0</v>
      </c>
      <c r="K184" s="168"/>
      <c r="L184" s="168">
        <v>0</v>
      </c>
      <c r="M184" s="167"/>
      <c r="N184" s="167"/>
      <c r="O184" s="167"/>
      <c r="P184" s="116">
        <f t="shared" si="17"/>
        <v>0</v>
      </c>
      <c r="Q184" s="167"/>
      <c r="R184" s="167"/>
      <c r="S184" s="168"/>
      <c r="T184" s="168">
        <v>64.53</v>
      </c>
      <c r="U184" s="169"/>
      <c r="V184" s="168"/>
      <c r="W184" s="117"/>
      <c r="X184" s="117">
        <f t="shared" si="2"/>
        <v>64.53</v>
      </c>
      <c r="Y184" s="98" t="s">
        <v>677</v>
      </c>
    </row>
    <row r="185" spans="1:25" ht="346.5">
      <c r="A185" s="469"/>
      <c r="B185" s="469"/>
      <c r="C185" s="469"/>
      <c r="D185" s="106">
        <v>176</v>
      </c>
      <c r="E185" s="106" t="s">
        <v>232</v>
      </c>
      <c r="F185" s="120"/>
      <c r="G185" s="120"/>
      <c r="H185" s="120"/>
      <c r="I185" s="120"/>
      <c r="J185" s="116">
        <f t="shared" si="16"/>
        <v>0</v>
      </c>
      <c r="K185" s="120"/>
      <c r="L185" s="120"/>
      <c r="M185" s="120"/>
      <c r="N185" s="120"/>
      <c r="O185" s="120"/>
      <c r="P185" s="116">
        <f t="shared" si="17"/>
        <v>0</v>
      </c>
      <c r="Q185" s="121"/>
      <c r="R185" s="121">
        <v>13</v>
      </c>
      <c r="S185" s="121"/>
      <c r="T185" s="121">
        <v>22.018000000000001</v>
      </c>
      <c r="U185" s="120"/>
      <c r="V185" s="120"/>
      <c r="W185" s="117"/>
      <c r="X185" s="117">
        <f t="shared" si="2"/>
        <v>35.018000000000001</v>
      </c>
      <c r="Y185" s="98" t="s">
        <v>678</v>
      </c>
    </row>
    <row r="186" spans="1:25" ht="29.25" hidden="1" customHeight="1">
      <c r="A186" s="469"/>
      <c r="B186" s="469"/>
      <c r="C186" s="469"/>
      <c r="D186" s="106">
        <v>177</v>
      </c>
      <c r="E186" s="106" t="s">
        <v>233</v>
      </c>
      <c r="F186" s="120"/>
      <c r="G186" s="120"/>
      <c r="H186" s="120"/>
      <c r="I186" s="120"/>
      <c r="J186" s="116">
        <f t="shared" si="16"/>
        <v>0</v>
      </c>
      <c r="K186" s="120"/>
      <c r="L186" s="120"/>
      <c r="M186" s="120"/>
      <c r="N186" s="120"/>
      <c r="O186" s="120"/>
      <c r="P186" s="116">
        <f t="shared" si="17"/>
        <v>0</v>
      </c>
      <c r="Q186" s="120"/>
      <c r="R186" s="120"/>
      <c r="S186" s="120"/>
      <c r="T186" s="120"/>
      <c r="U186" s="120"/>
      <c r="V186" s="120"/>
      <c r="W186" s="117"/>
      <c r="X186" s="117">
        <f t="shared" si="2"/>
        <v>0</v>
      </c>
      <c r="Y186" s="98"/>
    </row>
    <row r="187" spans="1:25" ht="47.25">
      <c r="A187" s="469"/>
      <c r="B187" s="476" t="s">
        <v>283</v>
      </c>
      <c r="C187" s="476" t="s">
        <v>284</v>
      </c>
      <c r="D187" s="106">
        <v>178</v>
      </c>
      <c r="E187" s="106" t="s">
        <v>285</v>
      </c>
      <c r="F187" s="120"/>
      <c r="G187" s="120"/>
      <c r="H187" s="120"/>
      <c r="I187" s="120"/>
      <c r="J187" s="116">
        <f t="shared" si="16"/>
        <v>0</v>
      </c>
      <c r="K187" s="120"/>
      <c r="L187" s="120"/>
      <c r="M187" s="120"/>
      <c r="N187" s="120"/>
      <c r="O187" s="120"/>
      <c r="P187" s="116">
        <f t="shared" si="17"/>
        <v>0</v>
      </c>
      <c r="Q187" s="120"/>
      <c r="R187" s="120"/>
      <c r="S187" s="120"/>
      <c r="T187" s="120">
        <f>140.4</f>
        <v>140.4</v>
      </c>
      <c r="U187" s="120"/>
      <c r="V187" s="120"/>
      <c r="W187" s="117"/>
      <c r="X187" s="117">
        <f t="shared" si="2"/>
        <v>140.4</v>
      </c>
      <c r="Y187" s="98" t="s">
        <v>550</v>
      </c>
    </row>
    <row r="188" spans="1:25" ht="15.75">
      <c r="A188" s="469"/>
      <c r="B188" s="469"/>
      <c r="C188" s="469"/>
      <c r="D188" s="106">
        <v>179</v>
      </c>
      <c r="E188" s="106" t="s">
        <v>125</v>
      </c>
      <c r="F188" s="120"/>
      <c r="G188" s="120"/>
      <c r="H188" s="120"/>
      <c r="I188" s="120"/>
      <c r="J188" s="116">
        <f t="shared" si="16"/>
        <v>0</v>
      </c>
      <c r="K188" s="120"/>
      <c r="L188" s="120"/>
      <c r="M188" s="120"/>
      <c r="N188" s="120"/>
      <c r="O188" s="120"/>
      <c r="P188" s="116">
        <f t="shared" si="17"/>
        <v>0</v>
      </c>
      <c r="Q188" s="120"/>
      <c r="R188" s="120"/>
      <c r="S188" s="120"/>
      <c r="T188" s="120"/>
      <c r="U188" s="120"/>
      <c r="V188" s="120"/>
      <c r="W188" s="117"/>
      <c r="X188" s="117">
        <f t="shared" si="2"/>
        <v>0</v>
      </c>
      <c r="Y188" s="129"/>
    </row>
    <row r="189" spans="1:25" ht="31.5">
      <c r="A189" s="469"/>
      <c r="B189" s="469"/>
      <c r="C189" s="469"/>
      <c r="D189" s="106">
        <v>180</v>
      </c>
      <c r="E189" s="106" t="s">
        <v>286</v>
      </c>
      <c r="F189" s="120"/>
      <c r="G189" s="120"/>
      <c r="H189" s="120"/>
      <c r="I189" s="120"/>
      <c r="J189" s="116">
        <f t="shared" si="16"/>
        <v>0</v>
      </c>
      <c r="K189" s="120"/>
      <c r="L189" s="120"/>
      <c r="M189" s="120"/>
      <c r="N189" s="120"/>
      <c r="O189" s="122"/>
      <c r="P189" s="117">
        <f t="shared" si="17"/>
        <v>0</v>
      </c>
      <c r="Q189" s="120"/>
      <c r="R189" s="120"/>
      <c r="S189" s="121"/>
      <c r="T189" s="121"/>
      <c r="U189" s="120"/>
      <c r="V189" s="120"/>
      <c r="W189" s="117"/>
      <c r="X189" s="117">
        <f t="shared" si="2"/>
        <v>0</v>
      </c>
      <c r="Y189" s="129"/>
    </row>
    <row r="190" spans="1:25" ht="31.5">
      <c r="A190" s="469"/>
      <c r="B190" s="469"/>
      <c r="C190" s="469"/>
      <c r="D190" s="106">
        <v>181</v>
      </c>
      <c r="E190" s="106" t="s">
        <v>287</v>
      </c>
      <c r="F190" s="120"/>
      <c r="G190" s="120"/>
      <c r="H190" s="120"/>
      <c r="I190" s="120"/>
      <c r="J190" s="116">
        <f t="shared" si="16"/>
        <v>0</v>
      </c>
      <c r="K190" s="120"/>
      <c r="L190" s="120"/>
      <c r="M190" s="120"/>
      <c r="N190" s="120"/>
      <c r="O190" s="120"/>
      <c r="P190" s="116">
        <f t="shared" si="17"/>
        <v>0</v>
      </c>
      <c r="Q190" s="120"/>
      <c r="R190" s="120"/>
      <c r="S190" s="120"/>
      <c r="T190" s="120"/>
      <c r="U190" s="120"/>
      <c r="V190" s="120"/>
      <c r="W190" s="117"/>
      <c r="X190" s="117">
        <f t="shared" si="2"/>
        <v>0</v>
      </c>
      <c r="Y190" s="129"/>
    </row>
    <row r="191" spans="1:25" ht="78.75">
      <c r="A191" s="469"/>
      <c r="B191" s="469"/>
      <c r="C191" s="469"/>
      <c r="D191" s="106">
        <v>182</v>
      </c>
      <c r="E191" s="106" t="s">
        <v>288</v>
      </c>
      <c r="F191" s="120"/>
      <c r="G191" s="120"/>
      <c r="H191" s="120"/>
      <c r="I191" s="120"/>
      <c r="J191" s="116">
        <f t="shared" si="16"/>
        <v>0</v>
      </c>
      <c r="K191" s="120"/>
      <c r="L191" s="120"/>
      <c r="M191" s="120"/>
      <c r="N191" s="120"/>
      <c r="O191" s="120"/>
      <c r="P191" s="116">
        <f t="shared" si="17"/>
        <v>0</v>
      </c>
      <c r="Q191" s="120"/>
      <c r="R191" s="120"/>
      <c r="S191" s="122"/>
      <c r="T191" s="167">
        <f>(2*0.5*6)</f>
        <v>6</v>
      </c>
      <c r="U191" s="120"/>
      <c r="V191" s="120"/>
      <c r="W191" s="117"/>
      <c r="X191" s="117">
        <f t="shared" si="2"/>
        <v>6</v>
      </c>
      <c r="Y191" s="141" t="s">
        <v>708</v>
      </c>
    </row>
    <row r="192" spans="1:25" ht="63" hidden="1">
      <c r="A192" s="469"/>
      <c r="B192" s="469"/>
      <c r="C192" s="469"/>
      <c r="D192" s="106">
        <v>183</v>
      </c>
      <c r="E192" s="106" t="s">
        <v>289</v>
      </c>
      <c r="F192" s="120"/>
      <c r="G192" s="120"/>
      <c r="H192" s="120"/>
      <c r="I192" s="120"/>
      <c r="J192" s="116">
        <f t="shared" si="16"/>
        <v>0</v>
      </c>
      <c r="K192" s="120"/>
      <c r="L192" s="120"/>
      <c r="M192" s="120"/>
      <c r="N192" s="120"/>
      <c r="O192" s="120"/>
      <c r="P192" s="116">
        <f t="shared" si="17"/>
        <v>0</v>
      </c>
      <c r="Q192" s="120"/>
      <c r="R192" s="120"/>
      <c r="S192" s="121"/>
      <c r="T192" s="121"/>
      <c r="U192" s="120"/>
      <c r="V192" s="120"/>
      <c r="W192" s="117"/>
      <c r="X192" s="117">
        <f t="shared" si="2"/>
        <v>0</v>
      </c>
      <c r="Y192" s="129"/>
    </row>
    <row r="193" spans="1:25" ht="63">
      <c r="A193" s="469"/>
      <c r="B193" s="106" t="s">
        <v>290</v>
      </c>
      <c r="C193" s="106" t="s">
        <v>291</v>
      </c>
      <c r="D193" s="106">
        <v>184</v>
      </c>
      <c r="E193" s="106" t="s">
        <v>292</v>
      </c>
      <c r="F193" s="120"/>
      <c r="G193" s="120"/>
      <c r="H193" s="120"/>
      <c r="I193" s="120"/>
      <c r="J193" s="116">
        <f t="shared" si="16"/>
        <v>0</v>
      </c>
      <c r="K193" s="120"/>
      <c r="L193" s="120"/>
      <c r="M193" s="120"/>
      <c r="N193" s="120"/>
      <c r="O193" s="120"/>
      <c r="P193" s="116">
        <f t="shared" si="17"/>
        <v>0</v>
      </c>
      <c r="Q193" s="120"/>
      <c r="R193" s="120"/>
      <c r="S193" s="122"/>
      <c r="T193" s="122"/>
      <c r="U193" s="120"/>
      <c r="V193" s="120"/>
      <c r="W193" s="117"/>
      <c r="X193" s="117">
        <f t="shared" si="2"/>
        <v>0</v>
      </c>
      <c r="Y193" s="129"/>
    </row>
    <row r="194" spans="1:25" ht="52.5" customHeight="1">
      <c r="A194" s="469"/>
      <c r="B194" s="476" t="s">
        <v>293</v>
      </c>
      <c r="C194" s="476" t="s">
        <v>235</v>
      </c>
      <c r="D194" s="106">
        <v>185</v>
      </c>
      <c r="E194" s="106" t="s">
        <v>236</v>
      </c>
      <c r="F194" s="120"/>
      <c r="G194" s="120"/>
      <c r="H194" s="120"/>
      <c r="I194" s="120"/>
      <c r="J194" s="116">
        <f t="shared" si="16"/>
        <v>0</v>
      </c>
      <c r="K194" s="120"/>
      <c r="L194" s="120"/>
      <c r="M194" s="120"/>
      <c r="N194" s="120"/>
      <c r="O194" s="120"/>
      <c r="P194" s="116">
        <f t="shared" si="17"/>
        <v>0</v>
      </c>
      <c r="Q194" s="120"/>
      <c r="R194" s="120"/>
      <c r="S194" s="120"/>
      <c r="T194" s="120">
        <v>4101.0074399999985</v>
      </c>
      <c r="U194" s="120"/>
      <c r="V194" s="120"/>
      <c r="W194" s="117"/>
      <c r="X194" s="117">
        <f t="shared" si="2"/>
        <v>4101.0074399999985</v>
      </c>
      <c r="Y194" s="98" t="s">
        <v>992</v>
      </c>
    </row>
    <row r="195" spans="1:25" ht="330.75">
      <c r="A195" s="469"/>
      <c r="B195" s="469"/>
      <c r="C195" s="469"/>
      <c r="D195" s="106">
        <v>186</v>
      </c>
      <c r="E195" s="106" t="s">
        <v>237</v>
      </c>
      <c r="F195" s="120">
        <v>0.435</v>
      </c>
      <c r="G195" s="120"/>
      <c r="H195" s="120"/>
      <c r="I195" s="120"/>
      <c r="J195" s="116">
        <f t="shared" si="16"/>
        <v>0</v>
      </c>
      <c r="K195" s="120"/>
      <c r="L195" s="120"/>
      <c r="M195" s="120"/>
      <c r="N195" s="120"/>
      <c r="O195" s="120"/>
      <c r="P195" s="116">
        <f t="shared" si="17"/>
        <v>0</v>
      </c>
      <c r="Q195" s="120"/>
      <c r="R195" s="120"/>
      <c r="S195" s="121"/>
      <c r="T195" s="121">
        <f>9.4+276.692</f>
        <v>286.09199999999998</v>
      </c>
      <c r="U195" s="120"/>
      <c r="V195" s="120"/>
      <c r="W195" s="117"/>
      <c r="X195" s="117">
        <f t="shared" si="2"/>
        <v>286.52699999999999</v>
      </c>
      <c r="Y195" s="98" t="s">
        <v>965</v>
      </c>
    </row>
    <row r="196" spans="1:25" ht="31.5">
      <c r="A196" s="469"/>
      <c r="B196" s="469"/>
      <c r="C196" s="469"/>
      <c r="D196" s="106">
        <v>187</v>
      </c>
      <c r="E196" s="106" t="s">
        <v>294</v>
      </c>
      <c r="F196" s="120"/>
      <c r="G196" s="120"/>
      <c r="H196" s="120"/>
      <c r="I196" s="120"/>
      <c r="J196" s="116">
        <f t="shared" si="16"/>
        <v>0</v>
      </c>
      <c r="K196" s="120"/>
      <c r="L196" s="120"/>
      <c r="M196" s="120"/>
      <c r="N196" s="120"/>
      <c r="O196" s="120"/>
      <c r="P196" s="116">
        <f t="shared" si="17"/>
        <v>0</v>
      </c>
      <c r="Q196" s="120"/>
      <c r="R196" s="120"/>
      <c r="S196" s="120"/>
      <c r="T196" s="120">
        <v>1319.2830000000001</v>
      </c>
      <c r="U196" s="120"/>
      <c r="V196" s="120"/>
      <c r="W196" s="117"/>
      <c r="X196" s="117">
        <f t="shared" si="2"/>
        <v>1319.2830000000001</v>
      </c>
      <c r="Y196" s="98" t="s">
        <v>993</v>
      </c>
    </row>
    <row r="197" spans="1:25" ht="15.75">
      <c r="A197" s="469"/>
      <c r="B197" s="469"/>
      <c r="C197" s="469"/>
      <c r="D197" s="106">
        <v>188</v>
      </c>
      <c r="E197" s="106" t="s">
        <v>238</v>
      </c>
      <c r="F197" s="120"/>
      <c r="G197" s="120"/>
      <c r="H197" s="120"/>
      <c r="I197" s="120"/>
      <c r="J197" s="116">
        <f t="shared" si="16"/>
        <v>0</v>
      </c>
      <c r="K197" s="120"/>
      <c r="L197" s="120"/>
      <c r="M197" s="120"/>
      <c r="N197" s="120"/>
      <c r="O197" s="120"/>
      <c r="P197" s="116">
        <f t="shared" si="17"/>
        <v>0</v>
      </c>
      <c r="Q197" s="120"/>
      <c r="R197" s="120"/>
      <c r="S197" s="120"/>
      <c r="T197" s="120"/>
      <c r="U197" s="120"/>
      <c r="V197" s="120"/>
      <c r="W197" s="117"/>
      <c r="X197" s="117">
        <f t="shared" si="2"/>
        <v>0</v>
      </c>
      <c r="Y197" s="98"/>
    </row>
    <row r="198" spans="1:25" ht="47.25">
      <c r="A198" s="469"/>
      <c r="B198" s="469"/>
      <c r="C198" s="469"/>
      <c r="D198" s="106">
        <v>189</v>
      </c>
      <c r="E198" s="106" t="s">
        <v>295</v>
      </c>
      <c r="F198" s="120"/>
      <c r="G198" s="120"/>
      <c r="H198" s="120"/>
      <c r="I198" s="120"/>
      <c r="J198" s="116">
        <f t="shared" si="16"/>
        <v>0</v>
      </c>
      <c r="K198" s="120"/>
      <c r="L198" s="120"/>
      <c r="M198" s="120"/>
      <c r="N198" s="120"/>
      <c r="O198" s="120"/>
      <c r="P198" s="116">
        <f t="shared" si="17"/>
        <v>0</v>
      </c>
      <c r="Q198" s="120"/>
      <c r="R198" s="120"/>
      <c r="S198" s="120"/>
      <c r="T198" s="120"/>
      <c r="U198" s="120"/>
      <c r="V198" s="120"/>
      <c r="W198" s="117"/>
      <c r="X198" s="117">
        <f t="shared" si="2"/>
        <v>0</v>
      </c>
      <c r="Y198" s="98"/>
    </row>
    <row r="199" spans="1:25" ht="47.25" hidden="1">
      <c r="A199" s="469"/>
      <c r="B199" s="469"/>
      <c r="C199" s="469"/>
      <c r="D199" s="106">
        <v>190</v>
      </c>
      <c r="E199" s="106" t="s">
        <v>296</v>
      </c>
      <c r="F199" s="120"/>
      <c r="G199" s="120"/>
      <c r="H199" s="120"/>
      <c r="I199" s="120"/>
      <c r="J199" s="116">
        <f t="shared" si="16"/>
        <v>0</v>
      </c>
      <c r="K199" s="120"/>
      <c r="L199" s="120"/>
      <c r="M199" s="120"/>
      <c r="N199" s="120"/>
      <c r="O199" s="120"/>
      <c r="P199" s="116">
        <f t="shared" si="17"/>
        <v>0</v>
      </c>
      <c r="Q199" s="120"/>
      <c r="R199" s="120"/>
      <c r="S199" s="121"/>
      <c r="T199" s="121"/>
      <c r="U199" s="120"/>
      <c r="V199" s="120"/>
      <c r="W199" s="117"/>
      <c r="X199" s="117">
        <f t="shared" si="2"/>
        <v>0</v>
      </c>
      <c r="Y199" s="98"/>
    </row>
    <row r="200" spans="1:25" ht="47.25" customHeight="1">
      <c r="A200" s="469"/>
      <c r="B200" s="476" t="s">
        <v>297</v>
      </c>
      <c r="C200" s="476" t="s">
        <v>298</v>
      </c>
      <c r="D200" s="106">
        <v>191</v>
      </c>
      <c r="E200" s="106" t="s">
        <v>299</v>
      </c>
      <c r="F200" s="120"/>
      <c r="G200" s="120"/>
      <c r="H200" s="120"/>
      <c r="I200" s="120"/>
      <c r="J200" s="116">
        <f t="shared" si="16"/>
        <v>0</v>
      </c>
      <c r="K200" s="120"/>
      <c r="L200" s="120"/>
      <c r="M200" s="120"/>
      <c r="N200" s="120"/>
      <c r="O200" s="120"/>
      <c r="P200" s="116">
        <f t="shared" si="17"/>
        <v>0</v>
      </c>
      <c r="Q200" s="120"/>
      <c r="R200" s="120"/>
      <c r="S200" s="120"/>
      <c r="T200" s="120">
        <f>4+8.07</f>
        <v>12.07</v>
      </c>
      <c r="U200" s="120"/>
      <c r="V200" s="120"/>
      <c r="W200" s="117"/>
      <c r="X200" s="117">
        <f t="shared" si="2"/>
        <v>12.07</v>
      </c>
      <c r="Y200" s="98" t="s">
        <v>1198</v>
      </c>
    </row>
    <row r="201" spans="1:25" ht="42.75" customHeight="1">
      <c r="A201" s="469"/>
      <c r="B201" s="469"/>
      <c r="C201" s="469"/>
      <c r="D201" s="106">
        <v>192</v>
      </c>
      <c r="E201" s="106" t="s">
        <v>300</v>
      </c>
      <c r="F201" s="120"/>
      <c r="G201" s="120"/>
      <c r="H201" s="120"/>
      <c r="I201" s="121"/>
      <c r="J201" s="125">
        <f t="shared" si="16"/>
        <v>0</v>
      </c>
      <c r="K201" s="120"/>
      <c r="L201" s="120"/>
      <c r="M201" s="120"/>
      <c r="N201" s="120"/>
      <c r="O201" s="120"/>
      <c r="P201" s="116">
        <f t="shared" si="17"/>
        <v>0</v>
      </c>
      <c r="Q201" s="120"/>
      <c r="R201" s="120"/>
      <c r="S201" s="122"/>
      <c r="T201" s="122"/>
      <c r="U201" s="120"/>
      <c r="V201" s="120"/>
      <c r="W201" s="117"/>
      <c r="X201" s="117">
        <f t="shared" si="2"/>
        <v>0</v>
      </c>
      <c r="Y201" s="98"/>
    </row>
    <row r="202" spans="1:25" ht="31.5">
      <c r="A202" s="469"/>
      <c r="B202" s="476" t="s">
        <v>301</v>
      </c>
      <c r="C202" s="476" t="s">
        <v>241</v>
      </c>
      <c r="D202" s="106">
        <v>193</v>
      </c>
      <c r="E202" s="106" t="s">
        <v>302</v>
      </c>
      <c r="F202" s="120"/>
      <c r="G202" s="120"/>
      <c r="H202" s="120"/>
      <c r="I202" s="120"/>
      <c r="J202" s="116">
        <f t="shared" si="16"/>
        <v>0</v>
      </c>
      <c r="K202" s="120"/>
      <c r="L202" s="120"/>
      <c r="M202" s="120"/>
      <c r="N202" s="120"/>
      <c r="O202" s="120"/>
      <c r="P202" s="116">
        <f t="shared" si="17"/>
        <v>0</v>
      </c>
      <c r="Q202" s="120"/>
      <c r="R202" s="120"/>
      <c r="S202" s="122"/>
      <c r="T202" s="122"/>
      <c r="U202" s="121"/>
      <c r="V202" s="121"/>
      <c r="W202" s="117"/>
      <c r="X202" s="117">
        <f t="shared" si="2"/>
        <v>0</v>
      </c>
      <c r="Y202" s="98"/>
    </row>
    <row r="203" spans="1:25" ht="31.5">
      <c r="A203" s="469"/>
      <c r="B203" s="469"/>
      <c r="C203" s="469"/>
      <c r="D203" s="106">
        <v>194</v>
      </c>
      <c r="E203" s="106" t="s">
        <v>242</v>
      </c>
      <c r="F203" s="120"/>
      <c r="G203" s="120"/>
      <c r="H203" s="120"/>
      <c r="I203" s="120"/>
      <c r="J203" s="116">
        <f t="shared" si="16"/>
        <v>0</v>
      </c>
      <c r="K203" s="120"/>
      <c r="L203" s="120"/>
      <c r="M203" s="120"/>
      <c r="N203" s="120"/>
      <c r="O203" s="120"/>
      <c r="P203" s="116">
        <f t="shared" si="17"/>
        <v>0</v>
      </c>
      <c r="Q203" s="120"/>
      <c r="R203" s="120"/>
      <c r="S203" s="120"/>
      <c r="T203" s="151">
        <v>91.69</v>
      </c>
      <c r="U203" s="120"/>
      <c r="V203" s="120"/>
      <c r="W203" s="117"/>
      <c r="X203" s="117">
        <f t="shared" si="2"/>
        <v>91.69</v>
      </c>
      <c r="Y203" s="98" t="s">
        <v>1221</v>
      </c>
    </row>
    <row r="204" spans="1:25" ht="47.25">
      <c r="A204" s="469"/>
      <c r="B204" s="476" t="s">
        <v>303</v>
      </c>
      <c r="C204" s="476" t="s">
        <v>304</v>
      </c>
      <c r="D204" s="106">
        <v>195</v>
      </c>
      <c r="E204" s="106" t="s">
        <v>305</v>
      </c>
      <c r="F204" s="120"/>
      <c r="G204" s="120"/>
      <c r="H204" s="120"/>
      <c r="I204" s="120"/>
      <c r="J204" s="116">
        <f t="shared" si="16"/>
        <v>0</v>
      </c>
      <c r="K204" s="120"/>
      <c r="L204" s="120"/>
      <c r="M204" s="120"/>
      <c r="N204" s="120"/>
      <c r="O204" s="120"/>
      <c r="P204" s="116">
        <f t="shared" si="17"/>
        <v>0</v>
      </c>
      <c r="Q204" s="120"/>
      <c r="R204" s="120"/>
      <c r="S204" s="122"/>
      <c r="T204" s="122"/>
      <c r="U204" s="120"/>
      <c r="V204" s="120"/>
      <c r="W204" s="117"/>
      <c r="X204" s="117">
        <f t="shared" si="2"/>
        <v>0</v>
      </c>
      <c r="Y204" s="98"/>
    </row>
    <row r="205" spans="1:25" ht="31.5">
      <c r="A205" s="469"/>
      <c r="B205" s="469"/>
      <c r="C205" s="469"/>
      <c r="D205" s="106">
        <v>196</v>
      </c>
      <c r="E205" s="106" t="s">
        <v>306</v>
      </c>
      <c r="F205" s="120"/>
      <c r="G205" s="120"/>
      <c r="H205" s="120"/>
      <c r="I205" s="120"/>
      <c r="J205" s="116">
        <f t="shared" si="16"/>
        <v>0</v>
      </c>
      <c r="K205" s="120"/>
      <c r="L205" s="120"/>
      <c r="M205" s="120"/>
      <c r="N205" s="120"/>
      <c r="O205" s="120"/>
      <c r="P205" s="116">
        <f t="shared" si="17"/>
        <v>0</v>
      </c>
      <c r="Q205" s="120"/>
      <c r="R205" s="120"/>
      <c r="S205" s="120"/>
      <c r="T205" s="120"/>
      <c r="U205" s="120"/>
      <c r="V205" s="120"/>
      <c r="W205" s="117"/>
      <c r="X205" s="117">
        <f t="shared" si="2"/>
        <v>0</v>
      </c>
      <c r="Y205" s="98"/>
    </row>
    <row r="206" spans="1:25" ht="15.75">
      <c r="A206" s="469"/>
      <c r="B206" s="469"/>
      <c r="C206" s="469"/>
      <c r="D206" s="106">
        <v>197</v>
      </c>
      <c r="E206" s="106" t="s">
        <v>307</v>
      </c>
      <c r="F206" s="135"/>
      <c r="G206" s="135"/>
      <c r="H206" s="135"/>
      <c r="I206" s="135"/>
      <c r="J206" s="116">
        <f t="shared" si="16"/>
        <v>0</v>
      </c>
      <c r="K206" s="135"/>
      <c r="L206" s="135"/>
      <c r="M206" s="135"/>
      <c r="N206" s="135"/>
      <c r="O206" s="135"/>
      <c r="P206" s="116">
        <f t="shared" si="17"/>
        <v>0</v>
      </c>
      <c r="Q206" s="135"/>
      <c r="R206" s="135"/>
      <c r="S206" s="170"/>
      <c r="T206" s="170">
        <v>0</v>
      </c>
      <c r="U206" s="129"/>
      <c r="V206" s="129"/>
      <c r="W206" s="171"/>
      <c r="X206" s="117">
        <f t="shared" si="2"/>
        <v>0</v>
      </c>
      <c r="Y206" s="98"/>
    </row>
    <row r="207" spans="1:25" ht="47.25">
      <c r="A207" s="469"/>
      <c r="B207" s="106" t="s">
        <v>308</v>
      </c>
      <c r="C207" s="106" t="s">
        <v>246</v>
      </c>
      <c r="D207" s="106">
        <v>198</v>
      </c>
      <c r="E207" s="106" t="s">
        <v>247</v>
      </c>
      <c r="F207" s="120"/>
      <c r="G207" s="120"/>
      <c r="H207" s="120"/>
      <c r="I207" s="120"/>
      <c r="J207" s="116">
        <f t="shared" si="16"/>
        <v>0</v>
      </c>
      <c r="K207" s="120"/>
      <c r="L207" s="120"/>
      <c r="M207" s="120"/>
      <c r="N207" s="120"/>
      <c r="O207" s="120"/>
      <c r="P207" s="116">
        <f t="shared" si="17"/>
        <v>0</v>
      </c>
      <c r="Q207" s="120"/>
      <c r="R207" s="120"/>
      <c r="S207" s="120"/>
      <c r="T207" s="120"/>
      <c r="U207" s="120"/>
      <c r="V207" s="120"/>
      <c r="W207" s="117"/>
      <c r="X207" s="117">
        <f t="shared" si="2"/>
        <v>0</v>
      </c>
      <c r="Y207" s="98"/>
    </row>
    <row r="208" spans="1:25" ht="31.5">
      <c r="A208" s="469"/>
      <c r="B208" s="106" t="s">
        <v>309</v>
      </c>
      <c r="C208" s="106" t="s">
        <v>249</v>
      </c>
      <c r="D208" s="106">
        <v>199</v>
      </c>
      <c r="E208" s="106" t="s">
        <v>250</v>
      </c>
      <c r="F208" s="151"/>
      <c r="G208" s="151"/>
      <c r="H208" s="151"/>
      <c r="I208" s="151"/>
      <c r="J208" s="116">
        <f t="shared" si="16"/>
        <v>0</v>
      </c>
      <c r="K208" s="151"/>
      <c r="L208" s="151"/>
      <c r="M208" s="151"/>
      <c r="N208" s="151"/>
      <c r="O208" s="151"/>
      <c r="P208" s="116">
        <f t="shared" si="17"/>
        <v>0</v>
      </c>
      <c r="Q208" s="151"/>
      <c r="R208" s="151"/>
      <c r="S208" s="151"/>
      <c r="T208" s="151">
        <v>100.05</v>
      </c>
      <c r="U208" s="151"/>
      <c r="V208" s="151"/>
      <c r="W208" s="117"/>
      <c r="X208" s="117">
        <f t="shared" si="2"/>
        <v>100.05</v>
      </c>
      <c r="Y208" s="98" t="s">
        <v>978</v>
      </c>
    </row>
    <row r="209" spans="1:25" ht="63">
      <c r="A209" s="469"/>
      <c r="B209" s="106" t="s">
        <v>310</v>
      </c>
      <c r="C209" s="172" t="s">
        <v>311</v>
      </c>
      <c r="D209" s="106">
        <v>200</v>
      </c>
      <c r="E209" s="106" t="s">
        <v>312</v>
      </c>
      <c r="F209" s="173"/>
      <c r="G209" s="173"/>
      <c r="H209" s="173"/>
      <c r="I209" s="173"/>
      <c r="J209" s="116">
        <f t="shared" si="16"/>
        <v>0</v>
      </c>
      <c r="K209" s="173"/>
      <c r="L209" s="173"/>
      <c r="M209" s="173"/>
      <c r="N209" s="173"/>
      <c r="O209" s="173"/>
      <c r="P209" s="116">
        <f t="shared" si="17"/>
        <v>0</v>
      </c>
      <c r="Q209" s="173"/>
      <c r="R209" s="173"/>
      <c r="S209" s="173"/>
      <c r="T209" s="173"/>
      <c r="U209" s="173"/>
      <c r="V209" s="173"/>
      <c r="W209" s="117"/>
      <c r="X209" s="117">
        <f t="shared" si="2"/>
        <v>0</v>
      </c>
      <c r="Y209" s="98"/>
    </row>
    <row r="210" spans="1:25" ht="78.75">
      <c r="A210" s="469"/>
      <c r="B210" s="174" t="s">
        <v>313</v>
      </c>
      <c r="C210" s="174" t="s">
        <v>314</v>
      </c>
      <c r="D210" s="175">
        <v>201</v>
      </c>
      <c r="E210" s="176" t="s">
        <v>315</v>
      </c>
      <c r="F210" s="173"/>
      <c r="G210" s="173"/>
      <c r="H210" s="173"/>
      <c r="I210" s="173"/>
      <c r="J210" s="116">
        <f t="shared" si="16"/>
        <v>0</v>
      </c>
      <c r="K210" s="173"/>
      <c r="L210" s="173"/>
      <c r="M210" s="173"/>
      <c r="N210" s="173"/>
      <c r="O210" s="173"/>
      <c r="P210" s="116">
        <f t="shared" si="17"/>
        <v>0</v>
      </c>
      <c r="Q210" s="173"/>
      <c r="R210" s="173"/>
      <c r="S210" s="173"/>
      <c r="T210" s="173">
        <v>44.3142</v>
      </c>
      <c r="U210" s="173"/>
      <c r="V210" s="173"/>
      <c r="W210" s="117"/>
      <c r="X210" s="117">
        <f t="shared" si="2"/>
        <v>44.3142</v>
      </c>
      <c r="Y210" s="98" t="s">
        <v>1162</v>
      </c>
    </row>
    <row r="211" spans="1:25" ht="47.25">
      <c r="A211" s="469"/>
      <c r="B211" s="174" t="s">
        <v>316</v>
      </c>
      <c r="C211" s="174" t="s">
        <v>317</v>
      </c>
      <c r="D211" s="175">
        <v>202</v>
      </c>
      <c r="E211" s="176" t="s">
        <v>318</v>
      </c>
      <c r="F211" s="173"/>
      <c r="G211" s="173"/>
      <c r="H211" s="173"/>
      <c r="I211" s="173"/>
      <c r="J211" s="116">
        <f t="shared" si="16"/>
        <v>0</v>
      </c>
      <c r="K211" s="173"/>
      <c r="L211" s="173"/>
      <c r="M211" s="173"/>
      <c r="N211" s="173"/>
      <c r="O211" s="173"/>
      <c r="P211" s="116">
        <f t="shared" si="17"/>
        <v>0</v>
      </c>
      <c r="Q211" s="173"/>
      <c r="R211" s="173"/>
      <c r="S211" s="173"/>
      <c r="T211" s="177">
        <v>1377.41598</v>
      </c>
      <c r="U211" s="173"/>
      <c r="V211" s="173"/>
      <c r="W211" s="117"/>
      <c r="X211" s="117">
        <f t="shared" si="2"/>
        <v>1377.41598</v>
      </c>
      <c r="Y211" s="98" t="s">
        <v>559</v>
      </c>
    </row>
    <row r="212" spans="1:25" ht="80.25" customHeight="1">
      <c r="A212" s="469"/>
      <c r="B212" s="174" t="s">
        <v>319</v>
      </c>
      <c r="C212" s="174" t="s">
        <v>320</v>
      </c>
      <c r="D212" s="175">
        <v>203</v>
      </c>
      <c r="E212" s="176" t="s">
        <v>321</v>
      </c>
      <c r="F212" s="173"/>
      <c r="G212" s="173"/>
      <c r="H212" s="173"/>
      <c r="I212" s="173"/>
      <c r="J212" s="116">
        <f t="shared" si="16"/>
        <v>0</v>
      </c>
      <c r="K212" s="173"/>
      <c r="L212" s="173"/>
      <c r="M212" s="173"/>
      <c r="N212" s="173"/>
      <c r="O212" s="173"/>
      <c r="P212" s="116">
        <f t="shared" si="17"/>
        <v>0</v>
      </c>
      <c r="Q212" s="173"/>
      <c r="R212" s="173"/>
      <c r="S212" s="173"/>
      <c r="T212" s="173"/>
      <c r="U212" s="173"/>
      <c r="V212" s="173"/>
      <c r="W212" s="117"/>
      <c r="X212" s="117">
        <f t="shared" si="2"/>
        <v>0</v>
      </c>
      <c r="Y212" s="98"/>
    </row>
    <row r="213" spans="1:25" ht="65.25" customHeight="1">
      <c r="A213" s="469"/>
      <c r="B213" s="174" t="s">
        <v>322</v>
      </c>
      <c r="C213" s="174" t="s">
        <v>323</v>
      </c>
      <c r="D213" s="175">
        <v>204</v>
      </c>
      <c r="E213" s="176" t="s">
        <v>324</v>
      </c>
      <c r="F213" s="173"/>
      <c r="G213" s="173"/>
      <c r="H213" s="173"/>
      <c r="I213" s="173"/>
      <c r="J213" s="116">
        <f t="shared" si="16"/>
        <v>0</v>
      </c>
      <c r="K213" s="173"/>
      <c r="L213" s="173"/>
      <c r="M213" s="173"/>
      <c r="N213" s="173"/>
      <c r="O213" s="173"/>
      <c r="P213" s="116">
        <f t="shared" si="17"/>
        <v>0</v>
      </c>
      <c r="Q213" s="173"/>
      <c r="R213" s="173"/>
      <c r="S213" s="173"/>
      <c r="T213" s="173">
        <v>25.294599999999999</v>
      </c>
      <c r="U213" s="173"/>
      <c r="V213" s="173"/>
      <c r="W213" s="117"/>
      <c r="X213" s="178">
        <f t="shared" si="2"/>
        <v>25.294599999999999</v>
      </c>
      <c r="Y213" s="98" t="s">
        <v>676</v>
      </c>
    </row>
    <row r="214" spans="1:25" ht="63">
      <c r="A214" s="469"/>
      <c r="B214" s="174" t="s">
        <v>326</v>
      </c>
      <c r="C214" s="174" t="s">
        <v>291</v>
      </c>
      <c r="D214" s="175">
        <v>205</v>
      </c>
      <c r="E214" s="176" t="s">
        <v>327</v>
      </c>
      <c r="F214" s="173"/>
      <c r="G214" s="173"/>
      <c r="H214" s="173"/>
      <c r="I214" s="173"/>
      <c r="J214" s="116">
        <f t="shared" si="16"/>
        <v>0</v>
      </c>
      <c r="K214" s="173"/>
      <c r="L214" s="173">
        <v>0</v>
      </c>
      <c r="M214" s="173" t="s">
        <v>328</v>
      </c>
      <c r="N214" s="173"/>
      <c r="O214" s="173"/>
      <c r="P214" s="116">
        <f t="shared" si="17"/>
        <v>0</v>
      </c>
      <c r="Q214" s="173"/>
      <c r="R214" s="173"/>
      <c r="S214" s="173"/>
      <c r="T214" s="173"/>
      <c r="U214" s="173"/>
      <c r="V214" s="173"/>
      <c r="W214" s="117"/>
      <c r="X214" s="117">
        <f t="shared" si="2"/>
        <v>0</v>
      </c>
      <c r="Y214" s="98"/>
    </row>
    <row r="215" spans="1:25" ht="31.5">
      <c r="A215" s="469"/>
      <c r="B215" s="174" t="s">
        <v>329</v>
      </c>
      <c r="C215" s="174" t="s">
        <v>246</v>
      </c>
      <c r="D215" s="175">
        <v>206</v>
      </c>
      <c r="E215" s="176" t="s">
        <v>330</v>
      </c>
      <c r="F215" s="173"/>
      <c r="G215" s="173"/>
      <c r="H215" s="173"/>
      <c r="I215" s="173"/>
      <c r="J215" s="116">
        <f t="shared" si="16"/>
        <v>0</v>
      </c>
      <c r="K215" s="173"/>
      <c r="L215" s="173"/>
      <c r="M215" s="173"/>
      <c r="N215" s="173"/>
      <c r="O215" s="173"/>
      <c r="P215" s="116">
        <f t="shared" si="17"/>
        <v>0</v>
      </c>
      <c r="Q215" s="173"/>
      <c r="R215" s="173"/>
      <c r="S215" s="173"/>
      <c r="T215" s="173"/>
      <c r="U215" s="173"/>
      <c r="V215" s="173"/>
      <c r="W215" s="117"/>
      <c r="X215" s="117">
        <f t="shared" si="2"/>
        <v>0</v>
      </c>
      <c r="Y215" s="98"/>
    </row>
    <row r="216" spans="1:25" s="110" customFormat="1" ht="32.25" customHeight="1">
      <c r="A216" s="469"/>
      <c r="B216" s="478" t="s">
        <v>331</v>
      </c>
      <c r="C216" s="479"/>
      <c r="D216" s="479"/>
      <c r="E216" s="99"/>
      <c r="F216" s="100">
        <f t="shared" ref="F216:W216" si="18">SUM(F159:F215)</f>
        <v>0.435</v>
      </c>
      <c r="G216" s="101">
        <f t="shared" si="18"/>
        <v>0</v>
      </c>
      <c r="H216" s="101">
        <f t="shared" si="18"/>
        <v>195</v>
      </c>
      <c r="I216" s="101">
        <f t="shared" si="18"/>
        <v>0</v>
      </c>
      <c r="J216" s="101">
        <f t="shared" si="18"/>
        <v>195</v>
      </c>
      <c r="K216" s="100">
        <f t="shared" si="18"/>
        <v>0</v>
      </c>
      <c r="L216" s="100">
        <f t="shared" si="18"/>
        <v>0</v>
      </c>
      <c r="M216" s="100">
        <f t="shared" si="18"/>
        <v>0</v>
      </c>
      <c r="N216" s="100">
        <f t="shared" si="18"/>
        <v>0</v>
      </c>
      <c r="O216" s="100">
        <f t="shared" si="18"/>
        <v>0</v>
      </c>
      <c r="P216" s="100">
        <f t="shared" si="18"/>
        <v>0</v>
      </c>
      <c r="Q216" s="100">
        <f t="shared" si="18"/>
        <v>0</v>
      </c>
      <c r="R216" s="100">
        <f t="shared" si="18"/>
        <v>13</v>
      </c>
      <c r="S216" s="101">
        <f t="shared" si="18"/>
        <v>0</v>
      </c>
      <c r="T216" s="101">
        <f t="shared" si="18"/>
        <v>7672.1692199999979</v>
      </c>
      <c r="U216" s="100">
        <f t="shared" si="18"/>
        <v>0</v>
      </c>
      <c r="V216" s="100">
        <f t="shared" si="18"/>
        <v>0</v>
      </c>
      <c r="W216" s="102">
        <f t="shared" si="18"/>
        <v>0</v>
      </c>
      <c r="X216" s="102">
        <f t="shared" si="2"/>
        <v>7880.6042199999983</v>
      </c>
      <c r="Y216" s="107"/>
    </row>
    <row r="217" spans="1:25" ht="20.25" customHeight="1">
      <c r="A217" s="480" t="s">
        <v>332</v>
      </c>
      <c r="B217" s="469"/>
      <c r="C217" s="469"/>
      <c r="D217" s="469"/>
      <c r="E217" s="103"/>
      <c r="F217" s="104">
        <f t="shared" ref="F217:W217" si="19">F216+F158+F134+F93+F68</f>
        <v>204.88983000000002</v>
      </c>
      <c r="G217" s="105">
        <f t="shared" si="19"/>
        <v>0</v>
      </c>
      <c r="H217" s="105">
        <f t="shared" si="19"/>
        <v>195</v>
      </c>
      <c r="I217" s="105">
        <f t="shared" si="19"/>
        <v>10.65</v>
      </c>
      <c r="J217" s="105">
        <f t="shared" si="19"/>
        <v>205.65</v>
      </c>
      <c r="K217" s="104">
        <f t="shared" si="19"/>
        <v>0</v>
      </c>
      <c r="L217" s="104">
        <f t="shared" si="19"/>
        <v>26.835000000000001</v>
      </c>
      <c r="M217" s="104">
        <f t="shared" si="19"/>
        <v>0</v>
      </c>
      <c r="N217" s="104">
        <f t="shared" si="19"/>
        <v>0</v>
      </c>
      <c r="O217" s="104">
        <f t="shared" si="19"/>
        <v>163.20530000000002</v>
      </c>
      <c r="P217" s="104">
        <f t="shared" si="19"/>
        <v>163.20530000000002</v>
      </c>
      <c r="Q217" s="104">
        <f t="shared" si="19"/>
        <v>0</v>
      </c>
      <c r="R217" s="104">
        <f t="shared" si="19"/>
        <v>120.71079999999999</v>
      </c>
      <c r="S217" s="105">
        <f t="shared" si="19"/>
        <v>0</v>
      </c>
      <c r="T217" s="105">
        <f t="shared" si="19"/>
        <v>10823.207619999997</v>
      </c>
      <c r="U217" s="104">
        <f t="shared" si="19"/>
        <v>0</v>
      </c>
      <c r="V217" s="104">
        <f t="shared" si="19"/>
        <v>8</v>
      </c>
      <c r="W217" s="104">
        <f t="shared" si="19"/>
        <v>0</v>
      </c>
      <c r="X217" s="104">
        <f t="shared" si="2"/>
        <v>11552.498549999997</v>
      </c>
      <c r="Y217" s="108"/>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38"/>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38"/>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38"/>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38"/>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38"/>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38"/>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38"/>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38"/>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38"/>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38"/>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38"/>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38"/>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38"/>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38"/>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38"/>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38"/>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38"/>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38"/>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38"/>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38"/>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38"/>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38"/>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38"/>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38"/>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38"/>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38"/>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38"/>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38"/>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38"/>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38"/>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38"/>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38"/>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38"/>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38"/>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38"/>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38"/>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38"/>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38"/>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38"/>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38"/>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38"/>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38"/>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38"/>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38"/>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38"/>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38"/>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38"/>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38"/>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38"/>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38"/>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38"/>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38"/>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38"/>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38"/>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38"/>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38"/>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38"/>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38"/>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38"/>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38"/>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38"/>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38"/>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38"/>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38"/>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38"/>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38"/>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38"/>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38"/>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38"/>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38"/>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38"/>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38"/>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38"/>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38"/>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38"/>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38"/>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38"/>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38"/>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38"/>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38"/>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38"/>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38"/>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38"/>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38"/>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38"/>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38"/>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38"/>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38"/>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38"/>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38"/>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38"/>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38"/>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38"/>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38"/>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38"/>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38"/>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38"/>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38"/>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38"/>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38"/>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38"/>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38"/>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38"/>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38"/>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38"/>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38"/>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38"/>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38"/>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38"/>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38"/>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38"/>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38"/>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38"/>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38"/>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38"/>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38"/>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38"/>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38"/>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38"/>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38"/>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38"/>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38"/>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38"/>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38"/>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38"/>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38"/>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38"/>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38"/>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38"/>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38"/>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38"/>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38"/>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38"/>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38"/>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38"/>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38"/>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38"/>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38"/>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38"/>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38"/>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38"/>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38"/>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38"/>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38"/>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38"/>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38"/>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38"/>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38"/>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38"/>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38"/>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38"/>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38"/>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38"/>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38"/>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38"/>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38"/>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38"/>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38"/>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38"/>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38"/>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38"/>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38"/>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38"/>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38"/>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38"/>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38"/>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38"/>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38"/>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38"/>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38"/>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38"/>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38"/>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38"/>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38"/>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38"/>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38"/>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38"/>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38"/>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38"/>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38"/>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38"/>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38"/>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38"/>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38"/>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38"/>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38"/>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38"/>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38"/>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38"/>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38"/>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38"/>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38"/>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38"/>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38"/>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38"/>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38"/>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38"/>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38"/>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38"/>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38"/>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38"/>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38"/>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38"/>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38"/>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38"/>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38"/>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38"/>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38"/>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38"/>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38"/>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38"/>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38"/>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38"/>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38"/>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38"/>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38"/>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38"/>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38"/>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38"/>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38"/>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38"/>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38"/>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38"/>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38"/>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38"/>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38"/>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38"/>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38"/>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38"/>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38"/>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38"/>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38"/>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38"/>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38"/>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38"/>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38"/>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38"/>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38"/>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38"/>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38"/>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38"/>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38"/>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38"/>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38"/>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38"/>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38"/>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38"/>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38"/>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38"/>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38"/>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38"/>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38"/>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38"/>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38"/>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38"/>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38"/>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38"/>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38"/>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38"/>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38"/>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38"/>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38"/>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38"/>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38"/>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38"/>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38"/>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38"/>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38"/>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38"/>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38"/>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38"/>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38"/>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38"/>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38"/>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38"/>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38"/>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38"/>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38"/>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38"/>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38"/>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38"/>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38"/>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38"/>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38"/>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38"/>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38"/>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38"/>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38"/>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38"/>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38"/>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38"/>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38"/>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38"/>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38"/>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38"/>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38"/>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38"/>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38"/>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38"/>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38"/>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38"/>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38"/>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38"/>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38"/>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38"/>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38"/>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38"/>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38"/>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38"/>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38"/>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38"/>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38"/>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38"/>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38"/>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38"/>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38"/>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38"/>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38"/>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38"/>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38"/>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38"/>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38"/>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38"/>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38"/>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38"/>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38"/>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38"/>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38"/>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38"/>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38"/>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38"/>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38"/>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38"/>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38"/>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38"/>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38"/>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38"/>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38"/>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38"/>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38"/>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38"/>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38"/>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38"/>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38"/>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38"/>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38"/>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38"/>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38"/>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38"/>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38"/>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38"/>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38"/>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38"/>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38"/>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38"/>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38"/>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38"/>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38"/>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38"/>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38"/>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38"/>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38"/>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38"/>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38"/>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38"/>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38"/>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38"/>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38"/>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38"/>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38"/>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38"/>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38"/>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38"/>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38"/>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38"/>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38"/>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38"/>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38"/>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38"/>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38"/>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38"/>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38"/>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38"/>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38"/>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38"/>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38"/>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38"/>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38"/>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38"/>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38"/>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38"/>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38"/>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38"/>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38"/>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38"/>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38"/>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38"/>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38"/>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38"/>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38"/>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38"/>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38"/>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38"/>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38"/>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38"/>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38"/>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38"/>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38"/>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38"/>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38"/>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38"/>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38"/>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38"/>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38"/>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38"/>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38"/>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38"/>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38"/>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38"/>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38"/>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38"/>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38"/>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38"/>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38"/>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38"/>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38"/>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38"/>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38"/>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38"/>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38"/>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38"/>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38"/>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38"/>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38"/>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38"/>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38"/>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38"/>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38"/>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38"/>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38"/>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38"/>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38"/>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38"/>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38"/>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38"/>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38"/>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38"/>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38"/>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38"/>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38"/>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38"/>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38"/>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38"/>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38"/>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38"/>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38"/>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38"/>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38"/>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38"/>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38"/>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38"/>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38"/>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38"/>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38"/>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38"/>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38"/>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38"/>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38"/>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38"/>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38"/>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38"/>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38"/>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38"/>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38"/>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38"/>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38"/>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38"/>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38"/>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38"/>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38"/>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38"/>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38"/>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38"/>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38"/>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38"/>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38"/>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38"/>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38"/>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38"/>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38"/>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38"/>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38"/>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38"/>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38"/>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38"/>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38"/>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38"/>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38"/>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38"/>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38"/>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38"/>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38"/>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38"/>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38"/>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38"/>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38"/>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38"/>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38"/>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38"/>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38"/>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38"/>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38"/>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38"/>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38"/>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38"/>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38"/>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38"/>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38"/>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38"/>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38"/>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38"/>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38"/>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38"/>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38"/>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38"/>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38"/>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38"/>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38"/>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38"/>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38"/>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38"/>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38"/>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38"/>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38"/>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38"/>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38"/>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38"/>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38"/>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38"/>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38"/>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38"/>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38"/>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38"/>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38"/>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38"/>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38"/>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38"/>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38"/>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38"/>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38"/>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38"/>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38"/>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38"/>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38"/>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38"/>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38"/>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38"/>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38"/>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38"/>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38"/>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38"/>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38"/>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38"/>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38"/>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38"/>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38"/>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38"/>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38"/>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38"/>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38"/>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38"/>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38"/>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38"/>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38"/>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38"/>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38"/>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38"/>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38"/>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38"/>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38"/>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38"/>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38"/>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38"/>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38"/>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38"/>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38"/>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38"/>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38"/>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38"/>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 footer="0"/>
  <pageSetup paperSize="9" orientation="landscape" r:id="rId1"/>
</worksheet>
</file>

<file path=xl/worksheets/sheet10.xml><?xml version="1.0" encoding="utf-8"?>
<worksheet xmlns="http://schemas.openxmlformats.org/spreadsheetml/2006/main" xmlns:r="http://schemas.openxmlformats.org/officeDocument/2006/relationships">
  <sheetPr>
    <outlinePr summaryBelow="0" summaryRight="0"/>
  </sheetPr>
  <dimension ref="A1:Y1000"/>
  <sheetViews>
    <sheetView workbookViewId="0">
      <pane xSplit="5" ySplit="5" topLeftCell="F203" activePane="bottomRight" state="frozen"/>
      <selection pane="topRight" activeCell="F1" sqref="F1"/>
      <selection pane="bottomLeft" activeCell="A6" sqref="A6"/>
      <selection pane="bottomRight" activeCell="Y203" sqref="Y203"/>
    </sheetView>
  </sheetViews>
  <sheetFormatPr defaultColWidth="14.42578125" defaultRowHeight="15" customHeight="1"/>
  <cols>
    <col min="1" max="1" width="5.140625" style="111" customWidth="1"/>
    <col min="2" max="2" width="7" style="111" customWidth="1"/>
    <col min="3" max="3" width="8.42578125" style="111" customWidth="1"/>
    <col min="4" max="4" width="8.140625" style="111" customWidth="1"/>
    <col min="5" max="5" width="25.42578125" style="111" customWidth="1"/>
    <col min="6" max="6" width="9.28515625" style="111" customWidth="1"/>
    <col min="7" max="7" width="7.5703125" style="111" hidden="1" customWidth="1"/>
    <col min="8" max="8" width="8.5703125" style="111" customWidth="1"/>
    <col min="9" max="9" width="8.85546875" style="111" customWidth="1"/>
    <col min="10" max="10" width="12" style="111" customWidth="1"/>
    <col min="11" max="11" width="6.85546875" style="111" hidden="1" customWidth="1"/>
    <col min="12" max="12" width="7.140625" style="111" customWidth="1"/>
    <col min="13" max="13" width="9.28515625" style="111" hidden="1" customWidth="1"/>
    <col min="14" max="14" width="8.85546875" style="111" customWidth="1"/>
    <col min="15" max="15" width="10.140625" style="111" customWidth="1"/>
    <col min="16" max="16" width="9.28515625" style="111" customWidth="1"/>
    <col min="17" max="17" width="9.140625" style="111" hidden="1" customWidth="1"/>
    <col min="18" max="18" width="9.5703125" style="111" customWidth="1"/>
    <col min="19" max="19" width="11.140625" style="111" hidden="1" customWidth="1"/>
    <col min="20" max="20" width="12.28515625" style="111" customWidth="1"/>
    <col min="21" max="21" width="22.42578125" style="111" hidden="1" customWidth="1"/>
    <col min="22" max="22" width="9.85546875" style="111" customWidth="1"/>
    <col min="23" max="23" width="11" style="111" hidden="1" customWidth="1"/>
    <col min="24" max="24" width="9.42578125" style="111" customWidth="1"/>
    <col min="25" max="25" width="41" style="179"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8"/>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8"/>
    </row>
    <row r="3" spans="1:25" ht="22.5" customHeight="1">
      <c r="A3" s="38"/>
      <c r="B3" s="112"/>
      <c r="C3" s="112"/>
      <c r="D3" s="112"/>
      <c r="E3" s="112" t="s">
        <v>388</v>
      </c>
      <c r="F3" s="112"/>
      <c r="G3" s="112"/>
      <c r="H3" s="112"/>
      <c r="I3" s="112"/>
      <c r="J3" s="112"/>
      <c r="K3" s="112"/>
      <c r="L3" s="112"/>
      <c r="M3" s="112"/>
      <c r="N3" s="112"/>
      <c r="O3" s="112"/>
      <c r="P3" s="112"/>
      <c r="Q3" s="112"/>
      <c r="R3" s="112"/>
      <c r="S3" s="112"/>
      <c r="T3" s="112"/>
      <c r="U3" s="112"/>
      <c r="V3" s="112"/>
      <c r="W3" s="113"/>
      <c r="X3" s="470" t="s">
        <v>2</v>
      </c>
      <c r="Y3" s="471"/>
    </row>
    <row r="4" spans="1:25" ht="90" customHeight="1">
      <c r="A4" s="468" t="s">
        <v>3</v>
      </c>
      <c r="B4" s="468" t="s">
        <v>4</v>
      </c>
      <c r="C4" s="468" t="s">
        <v>5</v>
      </c>
      <c r="D4" s="468" t="s">
        <v>6</v>
      </c>
      <c r="E4" s="468" t="s">
        <v>389</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50.2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505"/>
    </row>
    <row r="6" spans="1:25" ht="44.25" customHeight="1">
      <c r="A6" s="477" t="s">
        <v>24</v>
      </c>
      <c r="B6" s="476" t="s">
        <v>25</v>
      </c>
      <c r="C6" s="476" t="s">
        <v>26</v>
      </c>
      <c r="D6" s="106">
        <v>1</v>
      </c>
      <c r="E6" s="106"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8"/>
    </row>
    <row r="7" spans="1:25" ht="44.25" customHeight="1">
      <c r="A7" s="469"/>
      <c r="B7" s="469"/>
      <c r="C7" s="469"/>
      <c r="D7" s="106">
        <v>2</v>
      </c>
      <c r="E7" s="106" t="s">
        <v>28</v>
      </c>
      <c r="F7" s="116"/>
      <c r="G7" s="116"/>
      <c r="H7" s="116"/>
      <c r="I7" s="116"/>
      <c r="J7" s="116">
        <f t="shared" si="0"/>
        <v>0</v>
      </c>
      <c r="K7" s="116"/>
      <c r="L7" s="116"/>
      <c r="M7" s="116"/>
      <c r="N7" s="116"/>
      <c r="O7" s="119"/>
      <c r="P7" s="117">
        <f t="shared" si="1"/>
        <v>0</v>
      </c>
      <c r="Q7" s="120"/>
      <c r="R7" s="120"/>
      <c r="S7" s="121"/>
      <c r="T7" s="121"/>
      <c r="U7" s="116"/>
      <c r="V7" s="116"/>
      <c r="W7" s="117"/>
      <c r="X7" s="117">
        <f t="shared" si="2"/>
        <v>0</v>
      </c>
      <c r="Y7" s="98"/>
    </row>
    <row r="8" spans="1:25" ht="166.5" customHeight="1">
      <c r="A8" s="469"/>
      <c r="B8" s="469"/>
      <c r="C8" s="469"/>
      <c r="D8" s="106">
        <v>3</v>
      </c>
      <c r="E8" s="106" t="s">
        <v>29</v>
      </c>
      <c r="F8" s="121">
        <v>73.197670000000002</v>
      </c>
      <c r="G8" s="120"/>
      <c r="H8" s="120"/>
      <c r="I8" s="120"/>
      <c r="J8" s="116">
        <f t="shared" si="0"/>
        <v>0</v>
      </c>
      <c r="K8" s="120"/>
      <c r="L8" s="120"/>
      <c r="M8" s="120"/>
      <c r="N8" s="120"/>
      <c r="O8" s="120"/>
      <c r="P8" s="116">
        <f t="shared" si="1"/>
        <v>0</v>
      </c>
      <c r="Q8" s="120"/>
      <c r="R8" s="120"/>
      <c r="S8" s="120"/>
      <c r="T8" s="120"/>
      <c r="U8" s="116"/>
      <c r="V8" s="116"/>
      <c r="W8" s="117"/>
      <c r="X8" s="117">
        <f t="shared" si="2"/>
        <v>73.197670000000002</v>
      </c>
      <c r="Y8" s="164" t="s">
        <v>861</v>
      </c>
    </row>
    <row r="9" spans="1:25" ht="409.5">
      <c r="A9" s="469"/>
      <c r="B9" s="469"/>
      <c r="C9" s="469"/>
      <c r="D9" s="106">
        <v>4</v>
      </c>
      <c r="E9" s="106" t="s">
        <v>30</v>
      </c>
      <c r="F9" s="116"/>
      <c r="G9" s="116"/>
      <c r="H9" s="116"/>
      <c r="I9" s="116"/>
      <c r="J9" s="116">
        <f t="shared" si="0"/>
        <v>0</v>
      </c>
      <c r="K9" s="116"/>
      <c r="L9" s="116"/>
      <c r="M9" s="116"/>
      <c r="N9" s="116"/>
      <c r="O9" s="302">
        <v>84.298500000000004</v>
      </c>
      <c r="P9" s="116">
        <f t="shared" si="1"/>
        <v>84.298500000000004</v>
      </c>
      <c r="Q9" s="122"/>
      <c r="R9" s="261">
        <v>180.39599999999999</v>
      </c>
      <c r="S9" s="121"/>
      <c r="T9" s="124">
        <v>120.7938</v>
      </c>
      <c r="U9" s="120"/>
      <c r="V9" s="120"/>
      <c r="W9" s="117"/>
      <c r="X9" s="117">
        <f t="shared" si="2"/>
        <v>385.48829999999998</v>
      </c>
      <c r="Y9" s="164" t="s">
        <v>862</v>
      </c>
    </row>
    <row r="10" spans="1:25" ht="41.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74.697000000000003</v>
      </c>
      <c r="U10" s="120"/>
      <c r="V10" s="120"/>
      <c r="W10" s="117"/>
      <c r="X10" s="117">
        <f t="shared" si="2"/>
        <v>74.697000000000003</v>
      </c>
      <c r="Y10" s="164" t="s">
        <v>863</v>
      </c>
    </row>
    <row r="11" spans="1:25" ht="220.5">
      <c r="A11" s="469"/>
      <c r="B11" s="469"/>
      <c r="C11" s="469"/>
      <c r="D11" s="106">
        <v>6</v>
      </c>
      <c r="E11" s="106" t="s">
        <v>32</v>
      </c>
      <c r="F11" s="118">
        <v>2.6</v>
      </c>
      <c r="G11" s="120"/>
      <c r="H11" s="120"/>
      <c r="I11" s="120"/>
      <c r="J11" s="116">
        <f t="shared" si="0"/>
        <v>0</v>
      </c>
      <c r="K11" s="120"/>
      <c r="L11" s="120"/>
      <c r="M11" s="120"/>
      <c r="N11" s="120"/>
      <c r="O11" s="120"/>
      <c r="P11" s="116">
        <f t="shared" si="1"/>
        <v>0</v>
      </c>
      <c r="Q11" s="120"/>
      <c r="R11" s="120"/>
      <c r="S11" s="121"/>
      <c r="T11" s="124">
        <v>1.24</v>
      </c>
      <c r="U11" s="120"/>
      <c r="V11" s="120"/>
      <c r="W11" s="117"/>
      <c r="X11" s="117">
        <f t="shared" si="2"/>
        <v>3.84</v>
      </c>
      <c r="Y11" s="98" t="s">
        <v>864</v>
      </c>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8"/>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8"/>
    </row>
    <row r="14" spans="1:25" ht="58.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0.13</v>
      </c>
      <c r="U14" s="121"/>
      <c r="V14" s="121"/>
      <c r="W14" s="117"/>
      <c r="X14" s="117">
        <f t="shared" si="2"/>
        <v>0.13</v>
      </c>
      <c r="Y14" s="98" t="s">
        <v>860</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8"/>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8"/>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8"/>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8"/>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8"/>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8"/>
    </row>
    <row r="21" spans="1:25" ht="36.75" hidden="1"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8"/>
    </row>
    <row r="22" spans="1:25" ht="15.7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8"/>
    </row>
    <row r="23" spans="1:25" ht="31.5" hidden="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8"/>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8"/>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8"/>
    </row>
    <row r="26" spans="1:25" ht="110.25">
      <c r="A26" s="469"/>
      <c r="B26" s="476" t="s">
        <v>48</v>
      </c>
      <c r="C26" s="476" t="s">
        <v>49</v>
      </c>
      <c r="D26" s="106">
        <v>21</v>
      </c>
      <c r="E26" s="106" t="s">
        <v>50</v>
      </c>
      <c r="F26" s="120"/>
      <c r="G26" s="120"/>
      <c r="H26" s="120"/>
      <c r="I26" s="383"/>
      <c r="J26" s="101">
        <f t="shared" si="0"/>
        <v>0</v>
      </c>
      <c r="K26" s="384"/>
      <c r="L26" s="122"/>
      <c r="M26" s="106"/>
      <c r="N26" s="120"/>
      <c r="O26" s="122"/>
      <c r="P26" s="117">
        <f t="shared" si="1"/>
        <v>0</v>
      </c>
      <c r="Q26" s="120"/>
      <c r="R26" s="120"/>
      <c r="S26" s="121"/>
      <c r="T26" s="121">
        <v>31.236000000000001</v>
      </c>
      <c r="U26" s="97"/>
      <c r="V26" s="120"/>
      <c r="W26" s="117"/>
      <c r="X26" s="117">
        <f t="shared" si="2"/>
        <v>31.236000000000001</v>
      </c>
      <c r="Y26" s="98" t="s">
        <v>765</v>
      </c>
    </row>
    <row r="27" spans="1:25" ht="182.25" customHeight="1">
      <c r="A27" s="469"/>
      <c r="B27" s="469"/>
      <c r="C27" s="469"/>
      <c r="D27" s="106">
        <v>22</v>
      </c>
      <c r="E27" s="106" t="s">
        <v>52</v>
      </c>
      <c r="F27" s="121"/>
      <c r="G27" s="120"/>
      <c r="H27" s="120"/>
      <c r="I27" s="383"/>
      <c r="J27" s="101">
        <f t="shared" si="0"/>
        <v>0</v>
      </c>
      <c r="K27" s="107"/>
      <c r="L27" s="129">
        <v>2.9649999999999999</v>
      </c>
      <c r="M27" s="115"/>
      <c r="N27" s="120"/>
      <c r="O27" s="120"/>
      <c r="P27" s="116">
        <f t="shared" si="1"/>
        <v>0</v>
      </c>
      <c r="Q27" s="121"/>
      <c r="R27" s="121">
        <v>1</v>
      </c>
      <c r="S27" s="125"/>
      <c r="T27" s="121">
        <v>283.24599999999998</v>
      </c>
      <c r="U27" s="115"/>
      <c r="V27" s="120"/>
      <c r="W27" s="117"/>
      <c r="X27" s="117">
        <f t="shared" si="2"/>
        <v>287.21099999999996</v>
      </c>
      <c r="Y27" s="98" t="s">
        <v>766</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98"/>
    </row>
    <row r="29" spans="1:25" ht="189">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3.7</v>
      </c>
      <c r="U29" s="298"/>
      <c r="V29" s="120"/>
      <c r="W29" s="117"/>
      <c r="X29" s="117">
        <f t="shared" si="2"/>
        <v>3.7</v>
      </c>
      <c r="Y29" s="98" t="s">
        <v>767</v>
      </c>
    </row>
    <row r="30" spans="1:25" ht="393.7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0.58799999999999997</v>
      </c>
      <c r="U30" s="115"/>
      <c r="V30" s="120"/>
      <c r="W30" s="117"/>
      <c r="X30" s="117">
        <f t="shared" si="2"/>
        <v>0.58799999999999997</v>
      </c>
      <c r="Y30" s="98" t="s">
        <v>768</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98"/>
    </row>
    <row r="32" spans="1:25" ht="55.5" customHeight="1">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3</v>
      </c>
      <c r="U32" s="115"/>
      <c r="V32" s="120"/>
      <c r="W32" s="117"/>
      <c r="X32" s="117">
        <f t="shared" si="2"/>
        <v>3</v>
      </c>
      <c r="Y32" s="98" t="s">
        <v>793</v>
      </c>
    </row>
    <row r="33" spans="1:25" ht="50.25" customHeight="1">
      <c r="A33" s="469"/>
      <c r="B33" s="469"/>
      <c r="C33" s="469"/>
      <c r="D33" s="106">
        <v>28</v>
      </c>
      <c r="E33" s="106" t="s">
        <v>30</v>
      </c>
      <c r="F33" s="120"/>
      <c r="G33" s="120"/>
      <c r="H33" s="120"/>
      <c r="I33" s="120"/>
      <c r="J33" s="116">
        <f t="shared" si="0"/>
        <v>0</v>
      </c>
      <c r="K33" s="120"/>
      <c r="L33" s="120"/>
      <c r="M33" s="120"/>
      <c r="N33" s="120"/>
      <c r="O33" s="122">
        <v>20.571899999999999</v>
      </c>
      <c r="P33" s="117">
        <f t="shared" si="1"/>
        <v>20.571899999999999</v>
      </c>
      <c r="Q33" s="97"/>
      <c r="R33" s="122">
        <v>20.571899999999999</v>
      </c>
      <c r="S33" s="97"/>
      <c r="T33" s="120"/>
      <c r="U33" s="120"/>
      <c r="V33" s="120"/>
      <c r="W33" s="117"/>
      <c r="X33" s="117">
        <f t="shared" si="2"/>
        <v>41.143799999999999</v>
      </c>
      <c r="Y33" s="98" t="s">
        <v>769</v>
      </c>
    </row>
    <row r="34" spans="1:25" ht="48" customHeight="1">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72.001649999999998</v>
      </c>
      <c r="U34" s="97"/>
      <c r="V34" s="120"/>
      <c r="W34" s="117"/>
      <c r="X34" s="117">
        <f t="shared" si="2"/>
        <v>72.001649999999998</v>
      </c>
      <c r="Y34" s="98" t="s">
        <v>770</v>
      </c>
    </row>
    <row r="35" spans="1:25" ht="31.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98"/>
    </row>
    <row r="36" spans="1:25" ht="31.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8"/>
    </row>
    <row r="37" spans="1:25" ht="330.7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17.453299999999999</v>
      </c>
      <c r="U37" s="122"/>
      <c r="V37" s="122"/>
      <c r="W37" s="117"/>
      <c r="X37" s="117">
        <f t="shared" si="2"/>
        <v>17.453299999999999</v>
      </c>
      <c r="Y37" s="98" t="s">
        <v>1170</v>
      </c>
    </row>
    <row r="38" spans="1:25" ht="35.25" customHeight="1">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98"/>
    </row>
    <row r="39" spans="1:25" ht="39.75"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8"/>
    </row>
    <row r="40" spans="1:25" ht="173.25">
      <c r="A40" s="469"/>
      <c r="B40" s="476" t="s">
        <v>66</v>
      </c>
      <c r="C40" s="476" t="s">
        <v>67</v>
      </c>
      <c r="D40" s="106">
        <v>35</v>
      </c>
      <c r="E40" s="106" t="s">
        <v>68</v>
      </c>
      <c r="F40" s="116"/>
      <c r="G40" s="116"/>
      <c r="H40" s="116"/>
      <c r="I40" s="116"/>
      <c r="J40" s="116">
        <f t="shared" si="0"/>
        <v>0</v>
      </c>
      <c r="K40" s="117"/>
      <c r="L40" s="117"/>
      <c r="M40" s="116"/>
      <c r="N40" s="116"/>
      <c r="O40" s="116"/>
      <c r="P40" s="116">
        <f t="shared" si="1"/>
        <v>0</v>
      </c>
      <c r="Q40" s="116"/>
      <c r="R40" s="116"/>
      <c r="S40" s="125"/>
      <c r="T40" s="116">
        <f>1.8+2.88+0.39</f>
        <v>5.0699999999999994</v>
      </c>
      <c r="U40" s="116"/>
      <c r="V40" s="116"/>
      <c r="W40" s="117"/>
      <c r="X40" s="117">
        <f t="shared" si="2"/>
        <v>5.0699999999999994</v>
      </c>
      <c r="Y40" s="98" t="s">
        <v>390</v>
      </c>
    </row>
    <row r="41" spans="1:25" ht="31.5">
      <c r="A41" s="469"/>
      <c r="B41" s="469"/>
      <c r="C41" s="469"/>
      <c r="D41" s="106">
        <v>36</v>
      </c>
      <c r="E41" s="106" t="s">
        <v>70</v>
      </c>
      <c r="F41" s="116"/>
      <c r="G41" s="116"/>
      <c r="H41" s="116"/>
      <c r="I41" s="116"/>
      <c r="J41" s="116">
        <f t="shared" si="0"/>
        <v>0</v>
      </c>
      <c r="K41" s="116"/>
      <c r="L41" s="116"/>
      <c r="M41" s="116"/>
      <c r="N41" s="116"/>
      <c r="O41" s="117"/>
      <c r="P41" s="117">
        <f t="shared" si="1"/>
        <v>0</v>
      </c>
      <c r="Q41" s="116"/>
      <c r="R41" s="116"/>
      <c r="S41" s="116"/>
      <c r="T41" s="116"/>
      <c r="U41" s="116"/>
      <c r="V41" s="116"/>
      <c r="W41" s="117"/>
      <c r="X41" s="117">
        <f t="shared" si="2"/>
        <v>0</v>
      </c>
      <c r="Y41" s="98"/>
    </row>
    <row r="42" spans="1:25" ht="31.5">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8"/>
    </row>
    <row r="43" spans="1:25" ht="110.25">
      <c r="A43" s="469"/>
      <c r="B43" s="469"/>
      <c r="C43" s="469"/>
      <c r="D43" s="106">
        <v>38</v>
      </c>
      <c r="E43" s="106" t="s">
        <v>72</v>
      </c>
      <c r="F43" s="116"/>
      <c r="G43" s="116"/>
      <c r="H43" s="116"/>
      <c r="I43" s="116"/>
      <c r="J43" s="116">
        <f t="shared" si="0"/>
        <v>0</v>
      </c>
      <c r="K43" s="116"/>
      <c r="L43" s="116"/>
      <c r="M43" s="116"/>
      <c r="N43" s="116"/>
      <c r="O43" s="116"/>
      <c r="P43" s="116">
        <f t="shared" si="1"/>
        <v>0</v>
      </c>
      <c r="Q43" s="116"/>
      <c r="R43" s="116"/>
      <c r="S43" s="125"/>
      <c r="T43" s="125">
        <f>5.4+1.5</f>
        <v>6.9</v>
      </c>
      <c r="U43" s="116"/>
      <c r="V43" s="116"/>
      <c r="W43" s="117"/>
      <c r="X43" s="117">
        <f t="shared" si="2"/>
        <v>6.9</v>
      </c>
      <c r="Y43" s="98" t="s">
        <v>579</v>
      </c>
    </row>
    <row r="44" spans="1:25" ht="47.25">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16"/>
      <c r="V44" s="116"/>
      <c r="W44" s="117"/>
      <c r="X44" s="117">
        <f t="shared" si="2"/>
        <v>0</v>
      </c>
      <c r="Y44" s="98"/>
    </row>
    <row r="45" spans="1:25" ht="78.75">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(500*15*15)/100000</f>
        <v>1.125</v>
      </c>
      <c r="U45" s="116"/>
      <c r="V45" s="116"/>
      <c r="W45" s="117"/>
      <c r="X45" s="117">
        <f t="shared" si="2"/>
        <v>1.125</v>
      </c>
      <c r="Y45" s="98" t="s">
        <v>580</v>
      </c>
    </row>
    <row r="46" spans="1:25" ht="31.5" hidden="1">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8"/>
    </row>
    <row r="47" spans="1:25" ht="78.75">
      <c r="A47" s="469"/>
      <c r="B47" s="476" t="s">
        <v>76</v>
      </c>
      <c r="C47" s="476" t="s">
        <v>77</v>
      </c>
      <c r="D47" s="106">
        <v>42</v>
      </c>
      <c r="E47" s="106" t="s">
        <v>78</v>
      </c>
      <c r="F47" s="121">
        <v>6.0590000000000002</v>
      </c>
      <c r="G47" s="120"/>
      <c r="H47" s="120"/>
      <c r="I47" s="120"/>
      <c r="J47" s="116">
        <f t="shared" si="0"/>
        <v>0</v>
      </c>
      <c r="K47" s="122"/>
      <c r="L47" s="122"/>
      <c r="M47" s="120"/>
      <c r="N47" s="120"/>
      <c r="O47" s="120"/>
      <c r="P47" s="116">
        <f t="shared" si="1"/>
        <v>0</v>
      </c>
      <c r="Q47" s="120"/>
      <c r="R47" s="120"/>
      <c r="S47" s="121"/>
      <c r="T47" s="121"/>
      <c r="U47" s="120"/>
      <c r="V47" s="120"/>
      <c r="W47" s="117"/>
      <c r="X47" s="117">
        <f t="shared" si="2"/>
        <v>6.0590000000000002</v>
      </c>
      <c r="Y47" s="98" t="s">
        <v>947</v>
      </c>
    </row>
    <row r="48" spans="1:25" ht="31.5">
      <c r="A48" s="469"/>
      <c r="B48" s="469"/>
      <c r="C48" s="469"/>
      <c r="D48" s="106">
        <v>43</v>
      </c>
      <c r="E48" s="106" t="s">
        <v>79</v>
      </c>
      <c r="F48" s="121">
        <v>0.09</v>
      </c>
      <c r="G48" s="120"/>
      <c r="H48" s="120"/>
      <c r="I48" s="120"/>
      <c r="J48" s="116">
        <f t="shared" si="0"/>
        <v>0</v>
      </c>
      <c r="K48" s="122"/>
      <c r="L48" s="122"/>
      <c r="M48" s="120"/>
      <c r="N48" s="120"/>
      <c r="O48" s="120"/>
      <c r="P48" s="116">
        <f t="shared" si="1"/>
        <v>0</v>
      </c>
      <c r="Q48" s="120"/>
      <c r="R48" s="120"/>
      <c r="S48" s="121"/>
      <c r="T48" s="121"/>
      <c r="U48" s="120"/>
      <c r="V48" s="120"/>
      <c r="W48" s="117"/>
      <c r="X48" s="117">
        <f t="shared" si="2"/>
        <v>0.09</v>
      </c>
      <c r="Y48" s="98" t="s">
        <v>934</v>
      </c>
    </row>
    <row r="49" spans="1:25" ht="63">
      <c r="A49" s="469"/>
      <c r="B49" s="469"/>
      <c r="C49" s="469"/>
      <c r="D49" s="106">
        <v>44</v>
      </c>
      <c r="E49" s="106" t="s">
        <v>80</v>
      </c>
      <c r="F49" s="121">
        <v>0.37</v>
      </c>
      <c r="G49" s="120"/>
      <c r="H49" s="120"/>
      <c r="I49" s="120"/>
      <c r="J49" s="116">
        <f t="shared" si="0"/>
        <v>0</v>
      </c>
      <c r="K49" s="122"/>
      <c r="L49" s="122"/>
      <c r="M49" s="120"/>
      <c r="N49" s="120"/>
      <c r="O49" s="120"/>
      <c r="P49" s="116">
        <f t="shared" si="1"/>
        <v>0</v>
      </c>
      <c r="Q49" s="120"/>
      <c r="R49" s="120"/>
      <c r="S49" s="121"/>
      <c r="T49" s="121"/>
      <c r="U49" s="120"/>
      <c r="V49" s="120"/>
      <c r="W49" s="117"/>
      <c r="X49" s="117">
        <f t="shared" si="2"/>
        <v>0.37</v>
      </c>
      <c r="Y49" s="98" t="s">
        <v>908</v>
      </c>
    </row>
    <row r="50" spans="1:25" ht="78.75">
      <c r="A50" s="469"/>
      <c r="B50" s="469"/>
      <c r="C50" s="469"/>
      <c r="D50" s="106"/>
      <c r="E50" s="106" t="s">
        <v>81</v>
      </c>
      <c r="F50" s="121">
        <v>0.11600000000000001</v>
      </c>
      <c r="G50" s="120"/>
      <c r="H50" s="120"/>
      <c r="I50" s="120"/>
      <c r="J50" s="116">
        <f t="shared" si="0"/>
        <v>0</v>
      </c>
      <c r="K50" s="120"/>
      <c r="L50" s="120"/>
      <c r="M50" s="120"/>
      <c r="N50" s="120"/>
      <c r="O50" s="120"/>
      <c r="P50" s="116">
        <f t="shared" si="1"/>
        <v>0</v>
      </c>
      <c r="Q50" s="120"/>
      <c r="R50" s="120"/>
      <c r="S50" s="120"/>
      <c r="T50" s="120"/>
      <c r="U50" s="120"/>
      <c r="V50" s="120"/>
      <c r="W50" s="117"/>
      <c r="X50" s="117">
        <f t="shared" si="2"/>
        <v>0.11600000000000001</v>
      </c>
      <c r="Y50" s="98" t="s">
        <v>909</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8"/>
    </row>
    <row r="52" spans="1:25" ht="31.5">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98"/>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98"/>
    </row>
    <row r="54" spans="1:25" ht="47.25">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98"/>
    </row>
    <row r="55" spans="1:25" ht="31.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98"/>
    </row>
    <row r="56" spans="1:25" ht="31.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8"/>
    </row>
    <row r="57" spans="1:25" ht="15.7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98"/>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129"/>
    </row>
    <row r="59" spans="1:25" ht="173.25">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1</v>
      </c>
      <c r="U59" s="115"/>
      <c r="V59" s="120"/>
      <c r="W59" s="117"/>
      <c r="X59" s="117">
        <f t="shared" si="2"/>
        <v>1</v>
      </c>
      <c r="Y59" s="98" t="s">
        <v>804</v>
      </c>
    </row>
    <row r="60" spans="1:25" ht="31.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8"/>
    </row>
    <row r="61" spans="1:25" ht="31.5">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7"/>
      <c r="T61" s="120"/>
      <c r="U61" s="120"/>
      <c r="V61" s="120"/>
      <c r="W61" s="117"/>
      <c r="X61" s="117">
        <f t="shared" si="2"/>
        <v>0</v>
      </c>
      <c r="Y61" s="98"/>
    </row>
    <row r="62" spans="1:25" ht="126">
      <c r="A62" s="469"/>
      <c r="B62" s="469"/>
      <c r="C62" s="469"/>
      <c r="D62" s="106">
        <v>57</v>
      </c>
      <c r="E62" s="106" t="s">
        <v>95</v>
      </c>
      <c r="F62" s="120"/>
      <c r="G62" s="120"/>
      <c r="H62" s="120"/>
      <c r="I62" s="121"/>
      <c r="J62" s="125">
        <f t="shared" si="0"/>
        <v>0</v>
      </c>
      <c r="K62" s="120"/>
      <c r="L62" s="385">
        <v>37</v>
      </c>
      <c r="M62" s="386"/>
      <c r="N62" s="120"/>
      <c r="O62" s="120"/>
      <c r="P62" s="116">
        <f t="shared" si="1"/>
        <v>0</v>
      </c>
      <c r="Q62" s="121"/>
      <c r="R62" s="121"/>
      <c r="S62" s="97"/>
      <c r="T62" s="120"/>
      <c r="U62" s="120"/>
      <c r="V62" s="120"/>
      <c r="W62" s="117"/>
      <c r="X62" s="117">
        <f t="shared" si="2"/>
        <v>37</v>
      </c>
      <c r="Y62" s="98" t="s">
        <v>805</v>
      </c>
    </row>
    <row r="63" spans="1:25" ht="31.5">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129"/>
    </row>
    <row r="64" spans="1:25" ht="15.7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8"/>
    </row>
    <row r="65" spans="1:25" ht="31.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8"/>
    </row>
    <row r="66" spans="1:25" ht="31.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8"/>
    </row>
    <row r="67" spans="1:25" ht="204.75">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98"/>
    </row>
    <row r="68" spans="1:25" ht="15.75">
      <c r="A68" s="469"/>
      <c r="B68" s="478" t="s">
        <v>103</v>
      </c>
      <c r="C68" s="469"/>
      <c r="D68" s="469"/>
      <c r="E68" s="99"/>
      <c r="F68" s="102">
        <f t="shared" ref="F68:W68" si="3">SUM(F6:F67)</f>
        <v>82.432670000000002</v>
      </c>
      <c r="G68" s="102">
        <f t="shared" si="3"/>
        <v>0</v>
      </c>
      <c r="H68" s="102">
        <f t="shared" si="3"/>
        <v>0</v>
      </c>
      <c r="I68" s="102">
        <f t="shared" si="3"/>
        <v>0</v>
      </c>
      <c r="J68" s="102">
        <f t="shared" si="3"/>
        <v>0</v>
      </c>
      <c r="K68" s="102">
        <f t="shared" si="3"/>
        <v>0</v>
      </c>
      <c r="L68" s="102">
        <f t="shared" si="3"/>
        <v>39.965000000000003</v>
      </c>
      <c r="M68" s="102">
        <f t="shared" si="3"/>
        <v>0</v>
      </c>
      <c r="N68" s="102">
        <f t="shared" si="3"/>
        <v>0</v>
      </c>
      <c r="O68" s="102">
        <f t="shared" si="3"/>
        <v>104.8704</v>
      </c>
      <c r="P68" s="102">
        <f t="shared" si="3"/>
        <v>104.8704</v>
      </c>
      <c r="Q68" s="102">
        <f t="shared" si="3"/>
        <v>0</v>
      </c>
      <c r="R68" s="102">
        <f t="shared" si="3"/>
        <v>201.96789999999999</v>
      </c>
      <c r="S68" s="102">
        <f t="shared" si="3"/>
        <v>0</v>
      </c>
      <c r="T68" s="102">
        <f t="shared" si="3"/>
        <v>622.1807500000001</v>
      </c>
      <c r="U68" s="102">
        <f t="shared" si="3"/>
        <v>0</v>
      </c>
      <c r="V68" s="102">
        <f t="shared" si="3"/>
        <v>0</v>
      </c>
      <c r="W68" s="102">
        <f t="shared" si="3"/>
        <v>0</v>
      </c>
      <c r="X68" s="102">
        <f t="shared" si="2"/>
        <v>1051.4167200000002</v>
      </c>
      <c r="Y68" s="98"/>
    </row>
    <row r="69" spans="1:25" ht="81.75" customHeight="1">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1.5</v>
      </c>
      <c r="W69" s="117" t="s">
        <v>386</v>
      </c>
      <c r="X69" s="117">
        <f t="shared" si="2"/>
        <v>1.5</v>
      </c>
      <c r="Y69" s="98" t="s">
        <v>962</v>
      </c>
    </row>
    <row r="70" spans="1:25" ht="204.75">
      <c r="A70" s="469"/>
      <c r="B70" s="476" t="s">
        <v>108</v>
      </c>
      <c r="C70" s="476" t="s">
        <v>109</v>
      </c>
      <c r="D70" s="106">
        <v>64</v>
      </c>
      <c r="E70" s="106" t="s">
        <v>110</v>
      </c>
      <c r="F70" s="120"/>
      <c r="G70" s="120"/>
      <c r="H70" s="120"/>
      <c r="I70" s="121"/>
      <c r="J70" s="125">
        <f t="shared" si="4"/>
        <v>0</v>
      </c>
      <c r="K70" s="122"/>
      <c r="L70" s="122">
        <v>0</v>
      </c>
      <c r="M70" s="120"/>
      <c r="N70" s="120"/>
      <c r="O70" s="122">
        <v>0.28000000000000003</v>
      </c>
      <c r="P70" s="117">
        <f t="shared" si="5"/>
        <v>0.28000000000000003</v>
      </c>
      <c r="Q70" s="166"/>
      <c r="R70" s="120">
        <v>0</v>
      </c>
      <c r="S70" s="122"/>
      <c r="T70" s="122">
        <v>1.75</v>
      </c>
      <c r="U70" s="137"/>
      <c r="V70" s="121">
        <v>0</v>
      </c>
      <c r="W70" s="117"/>
      <c r="X70" s="117">
        <f t="shared" si="2"/>
        <v>2.0300000000000002</v>
      </c>
      <c r="Y70" s="98" t="s">
        <v>1051</v>
      </c>
    </row>
    <row r="71" spans="1:25" ht="29.25" customHeight="1">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98" t="s">
        <v>1052</v>
      </c>
    </row>
    <row r="72" spans="1:25" ht="126">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20"/>
      <c r="V72" s="120"/>
      <c r="W72" s="117"/>
      <c r="X72" s="117">
        <f t="shared" si="2"/>
        <v>0.09</v>
      </c>
      <c r="Y72" s="98" t="s">
        <v>1053</v>
      </c>
    </row>
    <row r="73" spans="1:25" ht="189">
      <c r="A73" s="469"/>
      <c r="B73" s="469"/>
      <c r="C73" s="469"/>
      <c r="D73" s="106">
        <v>67</v>
      </c>
      <c r="E73" s="106" t="s">
        <v>113</v>
      </c>
      <c r="F73" s="120"/>
      <c r="G73" s="120"/>
      <c r="H73" s="120"/>
      <c r="I73" s="120"/>
      <c r="J73" s="116">
        <f t="shared" si="4"/>
        <v>0</v>
      </c>
      <c r="K73" s="120"/>
      <c r="L73" s="120"/>
      <c r="M73" s="120"/>
      <c r="N73" s="120"/>
      <c r="O73" s="122"/>
      <c r="P73" s="117">
        <f t="shared" si="5"/>
        <v>0</v>
      </c>
      <c r="Q73" s="120"/>
      <c r="R73" s="120"/>
      <c r="S73" s="121"/>
      <c r="T73" s="121">
        <v>33.840000000000003</v>
      </c>
      <c r="U73" s="121"/>
      <c r="V73" s="121">
        <v>2</v>
      </c>
      <c r="W73" s="117"/>
      <c r="X73" s="117">
        <f t="shared" si="2"/>
        <v>35.840000000000003</v>
      </c>
      <c r="Y73" s="98" t="s">
        <v>1067</v>
      </c>
    </row>
    <row r="74" spans="1:25" ht="157.5">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9.67</v>
      </c>
      <c r="U74" s="121"/>
      <c r="V74" s="121">
        <v>15</v>
      </c>
      <c r="W74" s="117"/>
      <c r="X74" s="117">
        <f t="shared" si="2"/>
        <v>24.67</v>
      </c>
      <c r="Y74" s="98" t="s">
        <v>1068</v>
      </c>
    </row>
    <row r="75" spans="1:25" ht="409.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40"/>
      <c r="T75" s="140">
        <f>2.4+128.6+6.43+1.36+1.929+0.643+1.7+124</f>
        <v>267.06200000000001</v>
      </c>
      <c r="U75" s="138"/>
      <c r="V75" s="138"/>
      <c r="W75" s="117"/>
      <c r="X75" s="117">
        <f t="shared" si="2"/>
        <v>267.262</v>
      </c>
      <c r="Y75" s="141" t="s">
        <v>1047</v>
      </c>
    </row>
    <row r="76" spans="1:25" ht="204.75">
      <c r="A76" s="469"/>
      <c r="B76" s="469"/>
      <c r="C76" s="469"/>
      <c r="D76" s="106">
        <v>70</v>
      </c>
      <c r="E76" s="106" t="s">
        <v>118</v>
      </c>
      <c r="F76" s="140"/>
      <c r="G76" s="138"/>
      <c r="H76" s="138"/>
      <c r="I76" s="138"/>
      <c r="J76" s="116">
        <f t="shared" si="4"/>
        <v>0</v>
      </c>
      <c r="K76" s="142"/>
      <c r="L76" s="142">
        <v>0.186</v>
      </c>
      <c r="M76" s="138"/>
      <c r="N76" s="138"/>
      <c r="O76" s="138"/>
      <c r="P76" s="116">
        <f t="shared" si="5"/>
        <v>0</v>
      </c>
      <c r="Q76" s="138"/>
      <c r="R76" s="138"/>
      <c r="S76" s="140"/>
      <c r="T76" s="140">
        <v>1.1000000000000001</v>
      </c>
      <c r="U76" s="138"/>
      <c r="V76" s="138"/>
      <c r="W76" s="117"/>
      <c r="X76" s="117">
        <f t="shared" si="2"/>
        <v>1.286</v>
      </c>
      <c r="Y76" s="141" t="s">
        <v>922</v>
      </c>
    </row>
    <row r="77" spans="1:25" ht="15.75">
      <c r="A77" s="469"/>
      <c r="B77" s="469"/>
      <c r="C77" s="469"/>
      <c r="D77" s="106">
        <v>71</v>
      </c>
      <c r="E77" s="106" t="s">
        <v>119</v>
      </c>
      <c r="F77" s="138"/>
      <c r="G77" s="138"/>
      <c r="H77" s="138"/>
      <c r="I77" s="138"/>
      <c r="J77" s="116">
        <f t="shared" si="4"/>
        <v>0</v>
      </c>
      <c r="K77" s="138"/>
      <c r="L77" s="138"/>
      <c r="M77" s="138"/>
      <c r="N77" s="138"/>
      <c r="O77" s="138"/>
      <c r="P77" s="116">
        <f t="shared" si="5"/>
        <v>0</v>
      </c>
      <c r="Q77" s="138"/>
      <c r="R77" s="138"/>
      <c r="S77" s="138"/>
      <c r="T77" s="138"/>
      <c r="U77" s="138"/>
      <c r="V77" s="138"/>
      <c r="W77" s="117"/>
      <c r="X77" s="117">
        <f t="shared" si="2"/>
        <v>0</v>
      </c>
      <c r="Y77" s="98"/>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c r="W78" s="117"/>
      <c r="X78" s="117">
        <f t="shared" si="2"/>
        <v>0</v>
      </c>
      <c r="Y78" s="98"/>
    </row>
    <row r="79" spans="1:25" ht="36" customHeight="1">
      <c r="A79" s="469"/>
      <c r="B79" s="476" t="s">
        <v>121</v>
      </c>
      <c r="C79" s="476" t="s">
        <v>122</v>
      </c>
      <c r="D79" s="106">
        <v>73</v>
      </c>
      <c r="E79" s="106" t="s">
        <v>123</v>
      </c>
      <c r="F79" s="147">
        <v>3.2</v>
      </c>
      <c r="G79" s="147"/>
      <c r="H79" s="150"/>
      <c r="I79" s="147">
        <v>0.4</v>
      </c>
      <c r="J79" s="148">
        <f t="shared" si="4"/>
        <v>0.4</v>
      </c>
      <c r="K79" s="147"/>
      <c r="L79" s="147">
        <v>1.8</v>
      </c>
      <c r="M79" s="147"/>
      <c r="N79" s="147"/>
      <c r="O79" s="147">
        <v>3.1</v>
      </c>
      <c r="P79" s="149">
        <f>O79</f>
        <v>3.1</v>
      </c>
      <c r="Q79" s="147"/>
      <c r="R79" s="147">
        <v>12.5</v>
      </c>
      <c r="S79" s="147"/>
      <c r="T79" s="147">
        <v>1.3</v>
      </c>
      <c r="U79" s="147"/>
      <c r="V79" s="147">
        <v>0.5</v>
      </c>
      <c r="W79" s="117"/>
      <c r="X79" s="117">
        <f t="shared" si="2"/>
        <v>22.8</v>
      </c>
      <c r="Y79" s="98" t="s">
        <v>1124</v>
      </c>
    </row>
    <row r="80" spans="1:25" ht="78.75">
      <c r="A80" s="469"/>
      <c r="B80" s="469"/>
      <c r="C80" s="469"/>
      <c r="D80" s="106">
        <v>74</v>
      </c>
      <c r="E80" s="106" t="s">
        <v>124</v>
      </c>
      <c r="F80" s="147">
        <v>78</v>
      </c>
      <c r="G80" s="147"/>
      <c r="H80" s="147"/>
      <c r="I80" s="150"/>
      <c r="J80" s="140">
        <v>0</v>
      </c>
      <c r="K80" s="150"/>
      <c r="L80" s="150"/>
      <c r="M80" s="150"/>
      <c r="N80" s="150"/>
      <c r="O80" s="150"/>
      <c r="P80" s="140">
        <v>0</v>
      </c>
      <c r="Q80" s="150"/>
      <c r="R80" s="150"/>
      <c r="S80" s="150"/>
      <c r="T80" s="150"/>
      <c r="U80" s="150"/>
      <c r="V80" s="150"/>
      <c r="W80" s="117"/>
      <c r="X80" s="117">
        <f t="shared" si="2"/>
        <v>78</v>
      </c>
      <c r="Y80" s="98" t="s">
        <v>1125</v>
      </c>
    </row>
    <row r="81" spans="1:25" ht="252">
      <c r="A81" s="469"/>
      <c r="B81" s="469"/>
      <c r="C81" s="469"/>
      <c r="D81" s="106">
        <v>75</v>
      </c>
      <c r="E81" s="106" t="s">
        <v>125</v>
      </c>
      <c r="F81" s="147">
        <v>2.7</v>
      </c>
      <c r="G81" s="147"/>
      <c r="H81" s="147"/>
      <c r="I81" s="150"/>
      <c r="J81" s="140">
        <v>0</v>
      </c>
      <c r="K81" s="150"/>
      <c r="L81" s="150"/>
      <c r="M81" s="150"/>
      <c r="N81" s="150"/>
      <c r="O81" s="150"/>
      <c r="P81" s="140">
        <v>0</v>
      </c>
      <c r="Q81" s="150"/>
      <c r="R81" s="150"/>
      <c r="S81" s="147"/>
      <c r="T81" s="147">
        <v>2.4</v>
      </c>
      <c r="U81" s="150"/>
      <c r="V81" s="150"/>
      <c r="W81" s="117"/>
      <c r="X81" s="117">
        <f t="shared" si="2"/>
        <v>5.0999999999999996</v>
      </c>
      <c r="Y81" s="98" t="s">
        <v>1126</v>
      </c>
    </row>
    <row r="82" spans="1:25" ht="36" customHeight="1">
      <c r="A82" s="469"/>
      <c r="B82" s="469"/>
      <c r="C82" s="469"/>
      <c r="D82" s="106">
        <v>76</v>
      </c>
      <c r="E82" s="106" t="s">
        <v>126</v>
      </c>
      <c r="F82" s="150">
        <v>2.6</v>
      </c>
      <c r="G82" s="150"/>
      <c r="H82" s="150"/>
      <c r="I82" s="150"/>
      <c r="J82" s="140">
        <v>0</v>
      </c>
      <c r="K82" s="150"/>
      <c r="L82" s="150"/>
      <c r="M82" s="150"/>
      <c r="N82" s="150"/>
      <c r="O82" s="147"/>
      <c r="P82" s="140">
        <v>0</v>
      </c>
      <c r="Q82" s="147"/>
      <c r="R82" s="147">
        <v>2</v>
      </c>
      <c r="S82" s="150"/>
      <c r="T82" s="150"/>
      <c r="U82" s="150"/>
      <c r="V82" s="150"/>
      <c r="W82" s="117"/>
      <c r="X82" s="117">
        <f t="shared" si="2"/>
        <v>4.5999999999999996</v>
      </c>
      <c r="Y82" s="98" t="s">
        <v>1127</v>
      </c>
    </row>
    <row r="83" spans="1:25" ht="15" customHeight="1">
      <c r="A83" s="469"/>
      <c r="B83" s="469"/>
      <c r="C83" s="469"/>
      <c r="D83" s="106">
        <v>77</v>
      </c>
      <c r="E83" s="106" t="s">
        <v>127</v>
      </c>
      <c r="F83" s="147">
        <v>0.6</v>
      </c>
      <c r="G83" s="147"/>
      <c r="H83" s="147"/>
      <c r="I83" s="147">
        <v>0.25</v>
      </c>
      <c r="J83" s="149">
        <f>I83</f>
        <v>0.25</v>
      </c>
      <c r="K83" s="147"/>
      <c r="L83" s="147">
        <v>4.7</v>
      </c>
      <c r="M83" s="150"/>
      <c r="N83" s="150"/>
      <c r="O83" s="147">
        <v>1.3</v>
      </c>
      <c r="P83" s="149">
        <f>O83</f>
        <v>1.3</v>
      </c>
      <c r="Q83" s="147"/>
      <c r="R83" s="147"/>
      <c r="S83" s="150"/>
      <c r="T83" s="150"/>
      <c r="U83" s="147"/>
      <c r="V83" s="147">
        <v>0</v>
      </c>
      <c r="W83" s="117"/>
      <c r="X83" s="117">
        <f t="shared" si="2"/>
        <v>6.85</v>
      </c>
      <c r="Y83" s="98" t="s">
        <v>1128</v>
      </c>
    </row>
    <row r="84" spans="1:25" ht="48" customHeight="1">
      <c r="A84" s="469"/>
      <c r="B84" s="469"/>
      <c r="C84" s="469"/>
      <c r="D84" s="106">
        <v>78</v>
      </c>
      <c r="E84" s="106" t="s">
        <v>128</v>
      </c>
      <c r="F84" s="150"/>
      <c r="G84" s="150"/>
      <c r="H84" s="150"/>
      <c r="I84" s="150"/>
      <c r="J84" s="116">
        <f t="shared" ref="J84:J92" si="6">H84+I84</f>
        <v>0</v>
      </c>
      <c r="K84" s="150"/>
      <c r="L84" s="150"/>
      <c r="M84" s="150"/>
      <c r="N84" s="150"/>
      <c r="O84" s="150"/>
      <c r="P84" s="116">
        <f t="shared" ref="P84:P92" si="7">N84+O84</f>
        <v>0</v>
      </c>
      <c r="Q84" s="150"/>
      <c r="R84" s="150"/>
      <c r="S84" s="150"/>
      <c r="T84" s="150"/>
      <c r="U84" s="150"/>
      <c r="V84" s="150"/>
      <c r="W84" s="117"/>
      <c r="X84" s="117">
        <f t="shared" si="2"/>
        <v>0</v>
      </c>
      <c r="Y84" s="98"/>
    </row>
    <row r="85" spans="1:25" ht="15" hidden="1" customHeight="1">
      <c r="A85" s="469"/>
      <c r="B85" s="469"/>
      <c r="C85" s="469"/>
      <c r="D85" s="106">
        <v>79</v>
      </c>
      <c r="E85" s="106" t="s">
        <v>44</v>
      </c>
      <c r="F85" s="151"/>
      <c r="G85" s="151"/>
      <c r="H85" s="151"/>
      <c r="I85" s="151"/>
      <c r="J85" s="116">
        <f t="shared" si="6"/>
        <v>0</v>
      </c>
      <c r="K85" s="151"/>
      <c r="L85" s="151"/>
      <c r="M85" s="151"/>
      <c r="N85" s="151"/>
      <c r="O85" s="151"/>
      <c r="P85" s="116">
        <f t="shared" si="7"/>
        <v>0</v>
      </c>
      <c r="Q85" s="151"/>
      <c r="R85" s="151"/>
      <c r="S85" s="151"/>
      <c r="T85" s="151"/>
      <c r="U85" s="151"/>
      <c r="V85" s="151"/>
      <c r="W85" s="117"/>
      <c r="X85" s="117">
        <f t="shared" si="2"/>
        <v>0</v>
      </c>
      <c r="Y85" s="98"/>
    </row>
    <row r="86" spans="1:25" ht="15.75">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8"/>
    </row>
    <row r="87" spans="1:25" ht="31.5">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c r="U87" s="120"/>
      <c r="V87" s="120"/>
      <c r="W87" s="117"/>
      <c r="X87" s="117">
        <f t="shared" si="2"/>
        <v>0</v>
      </c>
      <c r="Y87" s="98"/>
    </row>
    <row r="88" spans="1:25" ht="47.25">
      <c r="A88" s="469"/>
      <c r="B88" s="469"/>
      <c r="C88" s="469"/>
      <c r="D88" s="106">
        <v>82</v>
      </c>
      <c r="E88" s="106" t="s">
        <v>133</v>
      </c>
      <c r="F88" s="120"/>
      <c r="G88" s="120"/>
      <c r="H88" s="120"/>
      <c r="I88" s="120"/>
      <c r="J88" s="116">
        <f t="shared" si="6"/>
        <v>0</v>
      </c>
      <c r="K88" s="120"/>
      <c r="L88" s="120"/>
      <c r="M88" s="120"/>
      <c r="N88" s="120"/>
      <c r="O88" s="120"/>
      <c r="P88" s="116">
        <f t="shared" si="7"/>
        <v>0</v>
      </c>
      <c r="Q88" s="120"/>
      <c r="R88" s="120"/>
      <c r="S88" s="121"/>
      <c r="T88" s="121">
        <v>0.12</v>
      </c>
      <c r="U88" s="120"/>
      <c r="V88" s="120"/>
      <c r="W88" s="117"/>
      <c r="X88" s="117">
        <f t="shared" si="2"/>
        <v>0.12</v>
      </c>
      <c r="Y88" s="153" t="s">
        <v>958</v>
      </c>
    </row>
    <row r="89" spans="1:25" ht="31.5">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v>0</v>
      </c>
      <c r="U89" s="120"/>
      <c r="V89" s="120"/>
      <c r="W89" s="117"/>
      <c r="X89" s="117">
        <f t="shared" si="2"/>
        <v>0.5</v>
      </c>
      <c r="Y89" s="98" t="s">
        <v>956</v>
      </c>
    </row>
    <row r="90" spans="1:25" ht="126">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c r="W90" s="117"/>
      <c r="X90" s="117">
        <f t="shared" si="2"/>
        <v>0</v>
      </c>
      <c r="Y90" s="98"/>
    </row>
    <row r="91" spans="1:25" ht="173.2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8"/>
    </row>
    <row r="92" spans="1:25" ht="126"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8" t="s">
        <v>374</v>
      </c>
    </row>
    <row r="93" spans="1:25" ht="45.75" customHeight="1">
      <c r="A93" s="469"/>
      <c r="B93" s="476" t="s">
        <v>143</v>
      </c>
      <c r="C93" s="469"/>
      <c r="D93" s="469"/>
      <c r="E93" s="106"/>
      <c r="F93" s="102">
        <f t="shared" ref="F93:W93" si="8">SUM(F69:F92)</f>
        <v>87.1</v>
      </c>
      <c r="G93" s="102">
        <f t="shared" si="8"/>
        <v>0</v>
      </c>
      <c r="H93" s="102">
        <f t="shared" si="8"/>
        <v>0</v>
      </c>
      <c r="I93" s="102">
        <f t="shared" si="8"/>
        <v>0.65</v>
      </c>
      <c r="J93" s="102">
        <f t="shared" si="8"/>
        <v>0.65</v>
      </c>
      <c r="K93" s="102">
        <f t="shared" si="8"/>
        <v>0</v>
      </c>
      <c r="L93" s="102">
        <f t="shared" si="8"/>
        <v>6.6859999999999999</v>
      </c>
      <c r="M93" s="102">
        <f t="shared" si="8"/>
        <v>0</v>
      </c>
      <c r="N93" s="102">
        <f t="shared" si="8"/>
        <v>0</v>
      </c>
      <c r="O93" s="102">
        <f t="shared" si="8"/>
        <v>5.18</v>
      </c>
      <c r="P93" s="102">
        <f t="shared" si="8"/>
        <v>5.18</v>
      </c>
      <c r="Q93" s="102">
        <f t="shared" si="8"/>
        <v>0</v>
      </c>
      <c r="R93" s="102">
        <f t="shared" si="8"/>
        <v>14.7</v>
      </c>
      <c r="S93" s="102">
        <f t="shared" si="8"/>
        <v>0</v>
      </c>
      <c r="T93" s="102">
        <f t="shared" si="8"/>
        <v>317.58200000000005</v>
      </c>
      <c r="U93" s="102">
        <f t="shared" si="8"/>
        <v>0</v>
      </c>
      <c r="V93" s="102">
        <f t="shared" si="8"/>
        <v>19</v>
      </c>
      <c r="W93" s="102">
        <f t="shared" si="8"/>
        <v>0</v>
      </c>
      <c r="X93" s="102">
        <f t="shared" si="2"/>
        <v>450.89800000000008</v>
      </c>
      <c r="Y93" s="387"/>
    </row>
    <row r="94" spans="1:25" ht="110.25">
      <c r="A94" s="477" t="s">
        <v>144</v>
      </c>
      <c r="B94" s="476" t="s">
        <v>145</v>
      </c>
      <c r="C94" s="476" t="s">
        <v>146</v>
      </c>
      <c r="D94" s="106">
        <v>87</v>
      </c>
      <c r="E94" s="106" t="s">
        <v>147</v>
      </c>
      <c r="F94" s="155"/>
      <c r="G94" s="155"/>
      <c r="H94" s="155"/>
      <c r="I94" s="155"/>
      <c r="J94" s="116">
        <f t="shared" ref="J94:J133" si="9">H94+I94</f>
        <v>0</v>
      </c>
      <c r="K94" s="155"/>
      <c r="L94" s="155"/>
      <c r="M94" s="155"/>
      <c r="N94" s="155"/>
      <c r="O94" s="122">
        <v>24</v>
      </c>
      <c r="P94" s="117">
        <f t="shared" ref="P94:P133" si="10">N94+O94</f>
        <v>24</v>
      </c>
      <c r="Q94" s="127"/>
      <c r="R94" s="155"/>
      <c r="S94" s="155"/>
      <c r="T94" s="155"/>
      <c r="U94" s="155"/>
      <c r="V94" s="155"/>
      <c r="W94" s="117"/>
      <c r="X94" s="117">
        <f t="shared" si="2"/>
        <v>24</v>
      </c>
      <c r="Y94" s="156" t="s">
        <v>620</v>
      </c>
    </row>
    <row r="95" spans="1:25" ht="63">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v>2</v>
      </c>
      <c r="U95" s="143"/>
      <c r="V95" s="155"/>
      <c r="W95" s="117"/>
      <c r="X95" s="117">
        <f t="shared" si="2"/>
        <v>2</v>
      </c>
      <c r="Y95" s="156" t="s">
        <v>599</v>
      </c>
    </row>
    <row r="96" spans="1:25" ht="47.2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156"/>
    </row>
    <row r="97" spans="1:25" ht="47.25">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156"/>
    </row>
    <row r="98" spans="1:25" ht="35.25" customHeight="1">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160"/>
    </row>
    <row r="99" spans="1:25" ht="47.2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c r="U99" s="155"/>
      <c r="V99" s="155"/>
      <c r="W99" s="117"/>
      <c r="X99" s="117">
        <f t="shared" si="2"/>
        <v>0</v>
      </c>
      <c r="Y99" s="160"/>
    </row>
    <row r="100" spans="1:25" ht="78.75">
      <c r="A100" s="469"/>
      <c r="B100" s="469"/>
      <c r="C100" s="469"/>
      <c r="D100" s="106">
        <v>93</v>
      </c>
      <c r="E100" s="106" t="s">
        <v>153</v>
      </c>
      <c r="F100" s="155"/>
      <c r="G100" s="155"/>
      <c r="H100" s="155"/>
      <c r="I100" s="155"/>
      <c r="J100" s="116">
        <f t="shared" si="9"/>
        <v>0</v>
      </c>
      <c r="K100" s="158"/>
      <c r="L100" s="158">
        <v>8.75</v>
      </c>
      <c r="M100" s="143"/>
      <c r="N100" s="155"/>
      <c r="O100" s="155"/>
      <c r="P100" s="116">
        <f t="shared" si="10"/>
        <v>0</v>
      </c>
      <c r="Q100" s="155"/>
      <c r="R100" s="155"/>
      <c r="S100" s="155"/>
      <c r="T100" s="155"/>
      <c r="U100" s="155"/>
      <c r="V100" s="155"/>
      <c r="W100" s="117"/>
      <c r="X100" s="117">
        <f t="shared" si="2"/>
        <v>8.75</v>
      </c>
      <c r="Y100" s="160" t="s">
        <v>615</v>
      </c>
    </row>
    <row r="101" spans="1:25" ht="78.75">
      <c r="A101" s="469"/>
      <c r="B101" s="469"/>
      <c r="C101" s="469"/>
      <c r="D101" s="106">
        <v>94</v>
      </c>
      <c r="E101" s="106" t="s">
        <v>154</v>
      </c>
      <c r="F101" s="155"/>
      <c r="G101" s="155"/>
      <c r="H101" s="155"/>
      <c r="I101" s="155"/>
      <c r="J101" s="116">
        <f t="shared" si="9"/>
        <v>0</v>
      </c>
      <c r="K101" s="158"/>
      <c r="L101" s="158">
        <v>8.75</v>
      </c>
      <c r="M101" s="143"/>
      <c r="N101" s="155"/>
      <c r="O101" s="155"/>
      <c r="P101" s="116">
        <f t="shared" si="10"/>
        <v>0</v>
      </c>
      <c r="Q101" s="155"/>
      <c r="R101" s="155"/>
      <c r="S101" s="155"/>
      <c r="T101" s="155"/>
      <c r="U101" s="155"/>
      <c r="V101" s="155"/>
      <c r="W101" s="117"/>
      <c r="X101" s="117">
        <f t="shared" si="2"/>
        <v>8.75</v>
      </c>
      <c r="Y101" s="160" t="s">
        <v>616</v>
      </c>
    </row>
    <row r="102" spans="1:25" ht="63">
      <c r="A102" s="469"/>
      <c r="B102" s="469"/>
      <c r="C102" s="469"/>
      <c r="D102" s="106">
        <v>95</v>
      </c>
      <c r="E102" s="106" t="s">
        <v>155</v>
      </c>
      <c r="F102" s="155"/>
      <c r="G102" s="155"/>
      <c r="H102" s="155"/>
      <c r="I102" s="158"/>
      <c r="J102" s="125">
        <f t="shared" si="9"/>
        <v>0</v>
      </c>
      <c r="K102" s="122"/>
      <c r="L102" s="122"/>
      <c r="M102" s="155"/>
      <c r="N102" s="155"/>
      <c r="O102" s="155"/>
      <c r="P102" s="116">
        <f t="shared" si="10"/>
        <v>0</v>
      </c>
      <c r="Q102" s="155"/>
      <c r="R102" s="155"/>
      <c r="S102" s="155"/>
      <c r="T102" s="155"/>
      <c r="U102" s="155"/>
      <c r="V102" s="155"/>
      <c r="W102" s="117"/>
      <c r="X102" s="117">
        <f t="shared" si="2"/>
        <v>0</v>
      </c>
      <c r="Y102" s="388"/>
    </row>
    <row r="103" spans="1:25" ht="75" customHeight="1">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2</v>
      </c>
      <c r="U103" s="143"/>
      <c r="V103" s="155"/>
      <c r="W103" s="117"/>
      <c r="X103" s="117">
        <f t="shared" si="2"/>
        <v>2</v>
      </c>
      <c r="Y103" s="98" t="s">
        <v>391</v>
      </c>
    </row>
    <row r="104" spans="1:25" ht="126">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12.2</v>
      </c>
      <c r="U104" s="140"/>
      <c r="V104" s="140"/>
      <c r="W104" s="117"/>
      <c r="X104" s="117">
        <f t="shared" si="2"/>
        <v>12.2</v>
      </c>
      <c r="Y104" s="98" t="s">
        <v>642</v>
      </c>
    </row>
    <row r="105" spans="1:25" ht="45" customHeight="1">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8" t="s">
        <v>631</v>
      </c>
    </row>
    <row r="106" spans="1:25" ht="15.7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129"/>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129"/>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129"/>
    </row>
    <row r="109" spans="1:25" ht="53.25" customHeight="1">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0.55000000000000004</v>
      </c>
      <c r="U109" s="140"/>
      <c r="V109" s="140"/>
      <c r="W109" s="117"/>
      <c r="X109" s="117">
        <f t="shared" si="2"/>
        <v>0.55000000000000004</v>
      </c>
      <c r="Y109" s="98" t="s">
        <v>656</v>
      </c>
    </row>
    <row r="110" spans="1:25" ht="31.5" hidden="1">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98"/>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98"/>
    </row>
    <row r="112" spans="1:25" ht="15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8" t="s">
        <v>633</v>
      </c>
    </row>
    <row r="113" spans="1:25" ht="24" customHeight="1">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98"/>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98"/>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98"/>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129"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8"/>
    </row>
    <row r="118" spans="1:25" ht="31.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129"/>
    </row>
    <row r="119" spans="1:25" ht="24" customHeight="1">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129"/>
    </row>
    <row r="120" spans="1:25" ht="33" customHeight="1">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129"/>
    </row>
    <row r="121" spans="1:25" ht="204.75">
      <c r="A121" s="469"/>
      <c r="B121" s="106" t="s">
        <v>183</v>
      </c>
      <c r="C121" s="106" t="s">
        <v>184</v>
      </c>
      <c r="D121" s="106">
        <v>114</v>
      </c>
      <c r="E121" s="106" t="s">
        <v>185</v>
      </c>
      <c r="F121" s="140"/>
      <c r="G121" s="140"/>
      <c r="H121" s="140"/>
      <c r="I121" s="161">
        <v>13</v>
      </c>
      <c r="J121" s="125">
        <f t="shared" si="9"/>
        <v>13</v>
      </c>
      <c r="K121" s="140"/>
      <c r="L121" s="140">
        <v>0.7</v>
      </c>
      <c r="M121" s="140"/>
      <c r="N121" s="140"/>
      <c r="O121" s="140"/>
      <c r="P121" s="116">
        <f t="shared" si="10"/>
        <v>0</v>
      </c>
      <c r="Q121" s="140"/>
      <c r="R121" s="140"/>
      <c r="S121" s="140"/>
      <c r="T121" s="140">
        <v>4.5</v>
      </c>
      <c r="U121" s="161"/>
      <c r="V121" s="161"/>
      <c r="W121" s="117"/>
      <c r="X121" s="117">
        <f t="shared" si="2"/>
        <v>18.2</v>
      </c>
      <c r="Y121" s="98"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98" t="s">
        <v>636</v>
      </c>
    </row>
    <row r="123" spans="1:25" ht="47.2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5.25</v>
      </c>
      <c r="S123" s="140"/>
      <c r="T123" s="140"/>
      <c r="U123" s="140"/>
      <c r="V123" s="140"/>
      <c r="W123" s="117"/>
      <c r="X123" s="117">
        <f t="shared" si="2"/>
        <v>5.25</v>
      </c>
      <c r="Y123" s="98" t="s">
        <v>637</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8"/>
    </row>
    <row r="125" spans="1:25" ht="31.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8"/>
    </row>
    <row r="126" spans="1:25" ht="141.7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61">
        <v>5</v>
      </c>
      <c r="U126" s="140"/>
      <c r="V126" s="140"/>
      <c r="W126" s="117"/>
      <c r="X126" s="117">
        <f t="shared" si="2"/>
        <v>5</v>
      </c>
      <c r="Y126" s="98" t="s">
        <v>638</v>
      </c>
    </row>
    <row r="127" spans="1:25" ht="220.5">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161"/>
      <c r="S127" s="161"/>
      <c r="T127" s="161"/>
      <c r="U127" s="140"/>
      <c r="V127" s="140"/>
      <c r="W127" s="117"/>
      <c r="X127" s="117">
        <f t="shared" si="2"/>
        <v>0</v>
      </c>
      <c r="Y127" s="129"/>
    </row>
    <row r="128" spans="1:25" ht="15.7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140"/>
      <c r="S128" s="140"/>
      <c r="T128" s="140"/>
      <c r="U128" s="140"/>
      <c r="V128" s="140"/>
      <c r="W128" s="117"/>
      <c r="X128" s="117">
        <f t="shared" si="2"/>
        <v>0</v>
      </c>
      <c r="Y128" s="129"/>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129"/>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129"/>
    </row>
    <row r="131" spans="1:25" ht="15.7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129"/>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129"/>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8"/>
    </row>
    <row r="134" spans="1:25" ht="26.25" customHeight="1">
      <c r="A134" s="469"/>
      <c r="B134" s="476" t="s">
        <v>208</v>
      </c>
      <c r="C134" s="469"/>
      <c r="D134" s="469"/>
      <c r="E134" s="106"/>
      <c r="F134" s="100">
        <f t="shared" ref="F134:W134" si="11">SUM(F94:F133)</f>
        <v>0</v>
      </c>
      <c r="G134" s="100">
        <f t="shared" si="11"/>
        <v>0</v>
      </c>
      <c r="H134" s="100">
        <f t="shared" si="11"/>
        <v>0</v>
      </c>
      <c r="I134" s="100">
        <f t="shared" si="11"/>
        <v>13</v>
      </c>
      <c r="J134" s="100">
        <f t="shared" si="11"/>
        <v>13</v>
      </c>
      <c r="K134" s="100">
        <f t="shared" si="11"/>
        <v>0</v>
      </c>
      <c r="L134" s="100">
        <f t="shared" si="11"/>
        <v>19.2</v>
      </c>
      <c r="M134" s="100">
        <f t="shared" si="11"/>
        <v>0</v>
      </c>
      <c r="N134" s="100">
        <f t="shared" si="11"/>
        <v>0</v>
      </c>
      <c r="O134" s="102">
        <f t="shared" si="11"/>
        <v>24</v>
      </c>
      <c r="P134" s="102">
        <f t="shared" si="11"/>
        <v>24</v>
      </c>
      <c r="Q134" s="100">
        <f t="shared" si="11"/>
        <v>0</v>
      </c>
      <c r="R134" s="100">
        <f t="shared" si="11"/>
        <v>5.25</v>
      </c>
      <c r="S134" s="100">
        <f t="shared" si="11"/>
        <v>0</v>
      </c>
      <c r="T134" s="100">
        <f t="shared" si="11"/>
        <v>30.11</v>
      </c>
      <c r="U134" s="100">
        <f t="shared" si="11"/>
        <v>0</v>
      </c>
      <c r="V134" s="100">
        <f t="shared" si="11"/>
        <v>0</v>
      </c>
      <c r="W134" s="102">
        <f t="shared" si="11"/>
        <v>0</v>
      </c>
      <c r="X134" s="100">
        <f t="shared" si="2"/>
        <v>91.56</v>
      </c>
      <c r="Y134" s="107"/>
    </row>
    <row r="135" spans="1:25" ht="63">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120"/>
      <c r="U135" s="120"/>
      <c r="V135" s="120"/>
      <c r="W135" s="117"/>
      <c r="X135" s="117">
        <f t="shared" si="2"/>
        <v>0</v>
      </c>
      <c r="Y135" s="98"/>
    </row>
    <row r="136" spans="1:25" ht="39" customHeight="1">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163"/>
      <c r="U136" s="120"/>
      <c r="V136" s="120"/>
      <c r="W136" s="117"/>
      <c r="X136" s="117">
        <f t="shared" si="2"/>
        <v>0</v>
      </c>
      <c r="Y136" s="98"/>
    </row>
    <row r="137" spans="1:25" ht="31.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120"/>
      <c r="U137" s="120"/>
      <c r="V137" s="120"/>
      <c r="W137" s="117"/>
      <c r="X137" s="117">
        <f t="shared" si="2"/>
        <v>0</v>
      </c>
      <c r="Y137" s="98"/>
    </row>
    <row r="138" spans="1:25" ht="47.25">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120"/>
      <c r="U138" s="120"/>
      <c r="V138" s="120"/>
      <c r="W138" s="117"/>
      <c r="X138" s="117">
        <f t="shared" si="2"/>
        <v>0</v>
      </c>
      <c r="Y138" s="98"/>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98"/>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120"/>
      <c r="U140" s="120"/>
      <c r="V140" s="120"/>
      <c r="W140" s="117"/>
      <c r="X140" s="117">
        <f t="shared" si="2"/>
        <v>0</v>
      </c>
      <c r="Y140" s="98"/>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120"/>
      <c r="U141" s="120"/>
      <c r="V141" s="120"/>
      <c r="W141" s="117"/>
      <c r="X141" s="117">
        <f t="shared" si="2"/>
        <v>0</v>
      </c>
      <c r="Y141" s="98"/>
    </row>
    <row r="142" spans="1:25" ht="126">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(14*0.025*12)</f>
        <v>4.2</v>
      </c>
      <c r="U142" s="120"/>
      <c r="V142" s="120"/>
      <c r="W142" s="117"/>
      <c r="X142" s="117">
        <f t="shared" si="2"/>
        <v>4.2</v>
      </c>
      <c r="Y142" s="164" t="s">
        <v>668</v>
      </c>
    </row>
    <row r="143" spans="1:25" ht="31.5">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120"/>
      <c r="U143" s="120"/>
      <c r="V143" s="120"/>
      <c r="W143" s="117"/>
      <c r="X143" s="117">
        <f t="shared" si="2"/>
        <v>0</v>
      </c>
      <c r="Y143" s="98"/>
    </row>
    <row r="144" spans="1:25" ht="47.25">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122"/>
      <c r="U144" s="120"/>
      <c r="V144" s="120"/>
      <c r="W144" s="117"/>
      <c r="X144" s="117">
        <f t="shared" si="2"/>
        <v>0</v>
      </c>
      <c r="Y144" s="98"/>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22"/>
      <c r="U145" s="120"/>
      <c r="V145" s="120"/>
      <c r="W145" s="117"/>
      <c r="X145" s="117">
        <f t="shared" si="2"/>
        <v>0</v>
      </c>
      <c r="Y145" s="98"/>
    </row>
    <row r="146" spans="1:25" ht="31.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120"/>
      <c r="U146" s="120"/>
      <c r="V146" s="120"/>
      <c r="W146" s="117"/>
      <c r="X146" s="117">
        <f t="shared" si="2"/>
        <v>0</v>
      </c>
      <c r="Y146" s="98"/>
    </row>
    <row r="147" spans="1:25" ht="63">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v>2</v>
      </c>
      <c r="U147" s="120"/>
      <c r="V147" s="120"/>
      <c r="W147" s="117"/>
      <c r="X147" s="117">
        <f t="shared" si="2"/>
        <v>2</v>
      </c>
      <c r="Y147" s="98" t="s">
        <v>669</v>
      </c>
    </row>
    <row r="148" spans="1:25" ht="94.5">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22">
        <v>1.89</v>
      </c>
      <c r="U148" s="120"/>
      <c r="V148" s="120"/>
      <c r="W148" s="117"/>
      <c r="X148" s="117">
        <f t="shared" si="2"/>
        <v>1.89</v>
      </c>
      <c r="Y148" s="98" t="s">
        <v>670</v>
      </c>
    </row>
    <row r="149" spans="1:25" ht="15.75" hidden="1">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20"/>
      <c r="U149" s="120"/>
      <c r="V149" s="120"/>
      <c r="W149" s="117"/>
      <c r="X149" s="117">
        <f t="shared" si="2"/>
        <v>0</v>
      </c>
      <c r="Y149" s="98"/>
    </row>
    <row r="150" spans="1:25" ht="63">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150">
        <v>1702</v>
      </c>
      <c r="U150" s="120"/>
      <c r="V150" s="120"/>
      <c r="W150" s="117"/>
      <c r="X150" s="117">
        <f t="shared" si="2"/>
        <v>1702</v>
      </c>
      <c r="Y150" s="98" t="s">
        <v>671</v>
      </c>
    </row>
    <row r="151" spans="1:25" ht="47.25">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120"/>
      <c r="U151" s="120"/>
      <c r="V151" s="120"/>
      <c r="W151" s="117"/>
      <c r="X151" s="117">
        <f t="shared" si="2"/>
        <v>0</v>
      </c>
      <c r="Y151" s="98"/>
    </row>
    <row r="152" spans="1:25" ht="15.75">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120"/>
      <c r="U152" s="120"/>
      <c r="V152" s="120"/>
      <c r="W152" s="117"/>
      <c r="X152" s="117">
        <f t="shared" si="2"/>
        <v>0</v>
      </c>
      <c r="Y152" s="98"/>
    </row>
    <row r="153" spans="1:25" ht="47.25">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120"/>
      <c r="U153" s="120"/>
      <c r="V153" s="120"/>
      <c r="W153" s="117"/>
      <c r="X153" s="117">
        <f t="shared" si="2"/>
        <v>0</v>
      </c>
      <c r="Y153" s="98"/>
    </row>
    <row r="154" spans="1:25" ht="126">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120">
        <f>(0.4*12)+(12*0.1)</f>
        <v>6.0000000000000009</v>
      </c>
      <c r="U154" s="120"/>
      <c r="V154" s="120"/>
      <c r="W154" s="117"/>
      <c r="X154" s="117">
        <f t="shared" si="2"/>
        <v>6.0000000000000009</v>
      </c>
      <c r="Y154" s="389" t="s">
        <v>672</v>
      </c>
    </row>
    <row r="155" spans="1:25" ht="31.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120"/>
      <c r="U155" s="120"/>
      <c r="V155" s="120"/>
      <c r="W155" s="117"/>
      <c r="X155" s="117">
        <f t="shared" si="2"/>
        <v>0</v>
      </c>
      <c r="Y155" s="98"/>
    </row>
    <row r="156" spans="1:25" ht="63"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98"/>
    </row>
    <row r="157" spans="1:25" ht="94.5">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122">
        <f>(0.03*180)</f>
        <v>5.3999999999999995</v>
      </c>
      <c r="U157" s="151"/>
      <c r="V157" s="151"/>
      <c r="W157" s="117"/>
      <c r="X157" s="117">
        <f t="shared" si="2"/>
        <v>5.3999999999999995</v>
      </c>
      <c r="Y157" s="98" t="s">
        <v>673</v>
      </c>
    </row>
    <row r="158" spans="1:25" ht="60" customHeight="1">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0">
        <f t="shared" si="14"/>
        <v>1721.49</v>
      </c>
      <c r="U158" s="100">
        <f t="shared" si="14"/>
        <v>0</v>
      </c>
      <c r="V158" s="100">
        <f t="shared" si="14"/>
        <v>0</v>
      </c>
      <c r="W158" s="102">
        <f t="shared" si="14"/>
        <v>0</v>
      </c>
      <c r="X158" s="100">
        <f t="shared" si="2"/>
        <v>1721.49</v>
      </c>
      <c r="Y158" s="107"/>
    </row>
    <row r="159" spans="1:25" ht="78.75">
      <c r="A159" s="477" t="s">
        <v>252</v>
      </c>
      <c r="B159" s="476" t="s">
        <v>253</v>
      </c>
      <c r="C159" s="476" t="s">
        <v>211</v>
      </c>
      <c r="D159" s="106">
        <v>150</v>
      </c>
      <c r="E159" s="106" t="s">
        <v>239</v>
      </c>
      <c r="F159" s="120"/>
      <c r="G159" s="121"/>
      <c r="H159" s="121">
        <v>145</v>
      </c>
      <c r="I159" s="121"/>
      <c r="J159" s="125">
        <f t="shared" ref="J159:J183" si="15">H159+I159</f>
        <v>145</v>
      </c>
      <c r="K159" s="120"/>
      <c r="L159" s="120"/>
      <c r="M159" s="120"/>
      <c r="N159" s="120"/>
      <c r="O159" s="120"/>
      <c r="P159" s="116">
        <f t="shared" ref="P159:P215" si="16">N159+O159</f>
        <v>0</v>
      </c>
      <c r="Q159" s="120"/>
      <c r="R159" s="120"/>
      <c r="S159" s="121"/>
      <c r="T159" s="121">
        <v>1</v>
      </c>
      <c r="U159" s="120"/>
      <c r="V159" s="120"/>
      <c r="W159" s="117"/>
      <c r="X159" s="117">
        <f t="shared" si="2"/>
        <v>146</v>
      </c>
      <c r="Y159" s="98" t="s">
        <v>1023</v>
      </c>
    </row>
    <row r="160" spans="1:25" ht="31.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20"/>
      <c r="S160" s="121"/>
      <c r="T160" s="121"/>
      <c r="U160" s="120"/>
      <c r="V160" s="120"/>
      <c r="W160" s="117"/>
      <c r="X160" s="117">
        <f t="shared" si="2"/>
        <v>0</v>
      </c>
      <c r="Y160" s="98"/>
    </row>
    <row r="161" spans="1:25" ht="49.5" customHeight="1">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20"/>
      <c r="S161" s="121"/>
      <c r="T161" s="98">
        <f>589 * 3600/100000</f>
        <v>21.204000000000001</v>
      </c>
      <c r="U161" s="120"/>
      <c r="V161" s="120"/>
      <c r="W161" s="117"/>
      <c r="X161" s="117">
        <f t="shared" si="2"/>
        <v>21.204000000000001</v>
      </c>
      <c r="Y161" s="98" t="s">
        <v>1024</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51"/>
      <c r="S162" s="151"/>
      <c r="T162" s="151"/>
      <c r="U162" s="151"/>
      <c r="V162" s="151"/>
      <c r="W162" s="117"/>
      <c r="X162" s="117">
        <f t="shared" si="2"/>
        <v>0</v>
      </c>
      <c r="Y162" s="98"/>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22"/>
      <c r="S163" s="120"/>
      <c r="T163" s="120"/>
      <c r="U163" s="120"/>
      <c r="V163" s="120"/>
      <c r="W163" s="117"/>
      <c r="X163" s="117">
        <f t="shared" si="2"/>
        <v>0</v>
      </c>
      <c r="Y163" s="98"/>
    </row>
    <row r="164" spans="1:25" ht="31.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20"/>
      <c r="S164" s="121"/>
      <c r="T164" s="121"/>
      <c r="U164" s="120"/>
      <c r="V164" s="120"/>
      <c r="W164" s="117"/>
      <c r="X164" s="117">
        <f t="shared" si="2"/>
        <v>0</v>
      </c>
      <c r="Y164" s="98"/>
    </row>
    <row r="165" spans="1:25" ht="44.25" customHeight="1">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20"/>
      <c r="S165" s="121"/>
      <c r="T165" s="121">
        <v>1</v>
      </c>
      <c r="U165" s="115"/>
      <c r="V165" s="120"/>
      <c r="W165" s="117"/>
      <c r="X165" s="117">
        <f t="shared" si="2"/>
        <v>1</v>
      </c>
      <c r="Y165" s="98" t="s">
        <v>814</v>
      </c>
    </row>
    <row r="166" spans="1:25" ht="31.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20"/>
      <c r="S166" s="120"/>
      <c r="T166" s="120"/>
      <c r="U166" s="120"/>
      <c r="V166" s="120"/>
      <c r="W166" s="117"/>
      <c r="X166" s="117">
        <f t="shared" si="2"/>
        <v>0</v>
      </c>
      <c r="Y166" s="98"/>
    </row>
    <row r="167" spans="1:25" ht="31.5">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20"/>
      <c r="S167" s="120"/>
      <c r="T167" s="120"/>
      <c r="U167" s="120"/>
      <c r="V167" s="120"/>
      <c r="W167" s="117"/>
      <c r="X167" s="117">
        <f t="shared" si="2"/>
        <v>0</v>
      </c>
      <c r="Y167" s="98"/>
    </row>
    <row r="168" spans="1:25" ht="94.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20"/>
      <c r="S168" s="121"/>
      <c r="T168" s="121">
        <v>77.52</v>
      </c>
      <c r="U168" s="120"/>
      <c r="V168" s="120"/>
      <c r="W168" s="117"/>
      <c r="X168" s="117">
        <f t="shared" si="2"/>
        <v>77.52</v>
      </c>
      <c r="Y168" s="98" t="s">
        <v>1002</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20"/>
      <c r="S169" s="120"/>
      <c r="T169" s="120"/>
      <c r="U169" s="120"/>
      <c r="V169" s="120"/>
      <c r="W169" s="117"/>
      <c r="X169" s="117">
        <f t="shared" si="2"/>
        <v>0</v>
      </c>
      <c r="Y169" s="129"/>
    </row>
    <row r="170" spans="1:25" ht="15.75">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20"/>
      <c r="S170" s="120"/>
      <c r="T170" s="120"/>
      <c r="U170" s="120"/>
      <c r="V170" s="120"/>
      <c r="W170" s="117"/>
      <c r="X170" s="117">
        <f t="shared" si="2"/>
        <v>0</v>
      </c>
      <c r="Y170" s="98"/>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20"/>
      <c r="S171" s="120"/>
      <c r="T171" s="120"/>
      <c r="U171" s="120"/>
      <c r="V171" s="120"/>
      <c r="W171" s="117"/>
      <c r="X171" s="117">
        <f t="shared" si="2"/>
        <v>0</v>
      </c>
      <c r="Y171" s="98"/>
    </row>
    <row r="172" spans="1:25" ht="47.25">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20"/>
      <c r="S172" s="121"/>
      <c r="T172" s="121"/>
      <c r="U172" s="120"/>
      <c r="V172" s="120"/>
      <c r="W172" s="117"/>
      <c r="X172" s="117">
        <f t="shared" si="2"/>
        <v>0</v>
      </c>
      <c r="Y172" s="98"/>
    </row>
    <row r="173" spans="1:25" ht="15.7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20"/>
      <c r="S173" s="120"/>
      <c r="T173" s="120"/>
      <c r="U173" s="120"/>
      <c r="V173" s="120"/>
      <c r="W173" s="117"/>
      <c r="X173" s="117">
        <f t="shared" si="2"/>
        <v>0</v>
      </c>
      <c r="Y173" s="98"/>
    </row>
    <row r="174" spans="1:25" ht="15.7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20"/>
      <c r="S174" s="120"/>
      <c r="T174" s="120"/>
      <c r="U174" s="120"/>
      <c r="V174" s="120"/>
      <c r="W174" s="117"/>
      <c r="X174" s="117">
        <f t="shared" si="2"/>
        <v>0</v>
      </c>
      <c r="Y174" s="98"/>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20"/>
      <c r="S175" s="120"/>
      <c r="T175" s="120"/>
      <c r="U175" s="120"/>
      <c r="V175" s="120"/>
      <c r="W175" s="117"/>
      <c r="X175" s="117">
        <f t="shared" si="2"/>
        <v>0</v>
      </c>
      <c r="Y175" s="98"/>
    </row>
    <row r="176" spans="1:25" ht="15.7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20"/>
      <c r="S176" s="120"/>
      <c r="T176" s="120"/>
      <c r="U176" s="120"/>
      <c r="V176" s="120"/>
      <c r="W176" s="117"/>
      <c r="X176" s="117">
        <f t="shared" si="2"/>
        <v>0</v>
      </c>
      <c r="Y176" s="98"/>
    </row>
    <row r="177" spans="1:25" ht="15.7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20"/>
      <c r="S177" s="120"/>
      <c r="T177" s="120"/>
      <c r="U177" s="120"/>
      <c r="V177" s="120"/>
      <c r="W177" s="117"/>
      <c r="X177" s="117">
        <f t="shared" si="2"/>
        <v>0</v>
      </c>
      <c r="Y177" s="98"/>
    </row>
    <row r="178" spans="1:25" ht="47.25">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20"/>
      <c r="S178" s="120"/>
      <c r="T178" s="120"/>
      <c r="U178" s="120"/>
      <c r="V178" s="120"/>
      <c r="W178" s="117"/>
      <c r="X178" s="117">
        <f t="shared" si="2"/>
        <v>0</v>
      </c>
      <c r="Y178" s="98"/>
    </row>
    <row r="179" spans="1:25" ht="63">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20"/>
      <c r="S179" s="120"/>
      <c r="T179" s="120"/>
      <c r="U179" s="120"/>
      <c r="V179" s="120"/>
      <c r="W179" s="117"/>
      <c r="X179" s="117">
        <f t="shared" si="2"/>
        <v>0</v>
      </c>
      <c r="Y179" s="98"/>
    </row>
    <row r="180" spans="1:25" ht="31.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20"/>
      <c r="S180" s="120"/>
      <c r="T180" s="120"/>
      <c r="U180" s="120"/>
      <c r="V180" s="120"/>
      <c r="W180" s="117"/>
      <c r="X180" s="117">
        <f t="shared" si="2"/>
        <v>0</v>
      </c>
      <c r="Y180" s="98"/>
    </row>
    <row r="181" spans="1:25" ht="31.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20"/>
      <c r="S181" s="122"/>
      <c r="T181" s="122"/>
      <c r="U181" s="120"/>
      <c r="V181" s="120"/>
      <c r="W181" s="117"/>
      <c r="X181" s="117">
        <f t="shared" si="2"/>
        <v>0</v>
      </c>
      <c r="Y181" s="98"/>
    </row>
    <row r="182" spans="1:25" ht="31.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20"/>
      <c r="S182" s="120"/>
      <c r="T182" s="120"/>
      <c r="U182" s="120"/>
      <c r="V182" s="120"/>
      <c r="W182" s="117"/>
      <c r="X182" s="117">
        <f t="shared" si="2"/>
        <v>0</v>
      </c>
      <c r="Y182" s="98"/>
    </row>
    <row r="183" spans="1:25" ht="15.7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20"/>
      <c r="S183" s="122"/>
      <c r="T183" s="122"/>
      <c r="U183" s="120"/>
      <c r="V183" s="120"/>
      <c r="W183" s="117"/>
      <c r="X183" s="117">
        <f t="shared" si="2"/>
        <v>0</v>
      </c>
      <c r="Y183" s="98"/>
    </row>
    <row r="184" spans="1:25" ht="189">
      <c r="A184" s="469"/>
      <c r="B184" s="476" t="s">
        <v>282</v>
      </c>
      <c r="C184" s="476" t="s">
        <v>230</v>
      </c>
      <c r="D184" s="106">
        <v>175</v>
      </c>
      <c r="E184" s="106" t="s">
        <v>231</v>
      </c>
      <c r="F184" s="167"/>
      <c r="G184" s="167"/>
      <c r="H184" s="167"/>
      <c r="I184" s="167"/>
      <c r="J184" s="116"/>
      <c r="K184" s="168"/>
      <c r="L184" s="168"/>
      <c r="M184" s="167"/>
      <c r="N184" s="167"/>
      <c r="O184" s="167"/>
      <c r="P184" s="116">
        <f t="shared" si="16"/>
        <v>0</v>
      </c>
      <c r="Q184" s="167"/>
      <c r="R184" s="167"/>
      <c r="S184" s="168"/>
      <c r="T184" s="168">
        <v>75.36</v>
      </c>
      <c r="U184" s="168"/>
      <c r="V184" s="168"/>
      <c r="W184" s="117"/>
      <c r="X184" s="117">
        <f t="shared" si="2"/>
        <v>75.36</v>
      </c>
      <c r="Y184" s="380" t="s">
        <v>695</v>
      </c>
    </row>
    <row r="185" spans="1:25" ht="378">
      <c r="A185" s="469"/>
      <c r="B185" s="469"/>
      <c r="C185" s="469"/>
      <c r="D185" s="106">
        <v>176</v>
      </c>
      <c r="E185" s="106" t="s">
        <v>232</v>
      </c>
      <c r="F185" s="120"/>
      <c r="G185" s="120"/>
      <c r="H185" s="120"/>
      <c r="I185" s="120"/>
      <c r="J185" s="116">
        <f t="shared" ref="J185:J215" si="17">H185+I185</f>
        <v>0</v>
      </c>
      <c r="K185" s="120"/>
      <c r="L185" s="120"/>
      <c r="M185" s="120"/>
      <c r="N185" s="120"/>
      <c r="O185" s="120"/>
      <c r="P185" s="116">
        <f t="shared" si="16"/>
        <v>0</v>
      </c>
      <c r="Q185" s="121"/>
      <c r="R185" s="121">
        <v>11</v>
      </c>
      <c r="S185" s="121"/>
      <c r="T185" s="121">
        <v>20.18</v>
      </c>
      <c r="U185" s="120"/>
      <c r="V185" s="120"/>
      <c r="W185" s="117"/>
      <c r="X185" s="117">
        <f t="shared" si="2"/>
        <v>31.18</v>
      </c>
      <c r="Y185" s="98" t="s">
        <v>696</v>
      </c>
    </row>
    <row r="186" spans="1:25" ht="29.25" hidden="1" customHeight="1">
      <c r="A186" s="469"/>
      <c r="B186" s="469"/>
      <c r="C186" s="469"/>
      <c r="D186" s="106">
        <v>177</v>
      </c>
      <c r="E186" s="106" t="s">
        <v>233</v>
      </c>
      <c r="F186" s="120"/>
      <c r="G186" s="120"/>
      <c r="H186" s="120"/>
      <c r="I186" s="120"/>
      <c r="J186" s="116">
        <f t="shared" si="17"/>
        <v>0</v>
      </c>
      <c r="K186" s="120"/>
      <c r="L186" s="120"/>
      <c r="M186" s="120"/>
      <c r="N186" s="120"/>
      <c r="O186" s="120"/>
      <c r="P186" s="116">
        <f t="shared" si="16"/>
        <v>0</v>
      </c>
      <c r="Q186" s="120"/>
      <c r="R186" s="120"/>
      <c r="S186" s="120"/>
      <c r="T186" s="120"/>
      <c r="U186" s="120"/>
      <c r="V186" s="120"/>
      <c r="W186" s="117"/>
      <c r="X186" s="117">
        <f t="shared" si="2"/>
        <v>0</v>
      </c>
      <c r="Y186" s="98"/>
    </row>
    <row r="187" spans="1:25" ht="47.25">
      <c r="A187" s="469"/>
      <c r="B187" s="476" t="s">
        <v>283</v>
      </c>
      <c r="C187" s="476" t="s">
        <v>284</v>
      </c>
      <c r="D187" s="106">
        <v>178</v>
      </c>
      <c r="E187" s="106" t="s">
        <v>285</v>
      </c>
      <c r="F187" s="120"/>
      <c r="G187" s="120"/>
      <c r="H187" s="120"/>
      <c r="I187" s="120"/>
      <c r="J187" s="116">
        <f t="shared" si="17"/>
        <v>0</v>
      </c>
      <c r="K187" s="120"/>
      <c r="L187" s="120"/>
      <c r="M187" s="120"/>
      <c r="N187" s="120"/>
      <c r="O187" s="120"/>
      <c r="P187" s="116">
        <f t="shared" si="16"/>
        <v>0</v>
      </c>
      <c r="Q187" s="120"/>
      <c r="R187" s="120"/>
      <c r="S187" s="120"/>
      <c r="T187" s="120"/>
      <c r="U187" s="120"/>
      <c r="V187" s="120"/>
      <c r="W187" s="117"/>
      <c r="X187" s="117">
        <f t="shared" si="2"/>
        <v>0</v>
      </c>
      <c r="Y187" s="98"/>
    </row>
    <row r="188" spans="1:25" ht="15.75">
      <c r="A188" s="469"/>
      <c r="B188" s="469"/>
      <c r="C188" s="469"/>
      <c r="D188" s="106">
        <v>179</v>
      </c>
      <c r="E188" s="106" t="s">
        <v>125</v>
      </c>
      <c r="F188" s="120"/>
      <c r="G188" s="120"/>
      <c r="H188" s="120"/>
      <c r="I188" s="120"/>
      <c r="J188" s="116">
        <f t="shared" si="17"/>
        <v>0</v>
      </c>
      <c r="K188" s="120"/>
      <c r="L188" s="120"/>
      <c r="M188" s="120"/>
      <c r="N188" s="120"/>
      <c r="O188" s="120"/>
      <c r="P188" s="116">
        <f t="shared" si="16"/>
        <v>0</v>
      </c>
      <c r="Q188" s="120"/>
      <c r="R188" s="120"/>
      <c r="S188" s="120"/>
      <c r="T188" s="120"/>
      <c r="U188" s="120"/>
      <c r="V188" s="120"/>
      <c r="W188" s="117"/>
      <c r="X188" s="117">
        <f t="shared" si="2"/>
        <v>0</v>
      </c>
      <c r="Y188" s="129"/>
    </row>
    <row r="189" spans="1:25" ht="31.5">
      <c r="A189" s="469"/>
      <c r="B189" s="469"/>
      <c r="C189" s="469"/>
      <c r="D189" s="106">
        <v>180</v>
      </c>
      <c r="E189" s="106" t="s">
        <v>286</v>
      </c>
      <c r="F189" s="120"/>
      <c r="G189" s="120"/>
      <c r="H189" s="120"/>
      <c r="I189" s="120"/>
      <c r="J189" s="116">
        <f t="shared" si="17"/>
        <v>0</v>
      </c>
      <c r="K189" s="120"/>
      <c r="L189" s="120"/>
      <c r="M189" s="120"/>
      <c r="N189" s="120"/>
      <c r="O189" s="122"/>
      <c r="P189" s="117">
        <f t="shared" si="16"/>
        <v>0</v>
      </c>
      <c r="Q189" s="120"/>
      <c r="R189" s="120"/>
      <c r="S189" s="121"/>
      <c r="T189" s="121"/>
      <c r="U189" s="120"/>
      <c r="V189" s="120"/>
      <c r="W189" s="117"/>
      <c r="X189" s="117">
        <f t="shared" si="2"/>
        <v>0</v>
      </c>
      <c r="Y189" s="129"/>
    </row>
    <row r="190" spans="1:25" ht="31.5">
      <c r="A190" s="469"/>
      <c r="B190" s="469"/>
      <c r="C190" s="469"/>
      <c r="D190" s="106">
        <v>181</v>
      </c>
      <c r="E190" s="106" t="s">
        <v>287</v>
      </c>
      <c r="F190" s="120"/>
      <c r="G190" s="120"/>
      <c r="H190" s="120"/>
      <c r="I190" s="120"/>
      <c r="J190" s="116">
        <f t="shared" si="17"/>
        <v>0</v>
      </c>
      <c r="K190" s="120"/>
      <c r="L190" s="120"/>
      <c r="M190" s="120"/>
      <c r="N190" s="120"/>
      <c r="O190" s="120"/>
      <c r="P190" s="116">
        <f t="shared" si="16"/>
        <v>0</v>
      </c>
      <c r="Q190" s="120"/>
      <c r="R190" s="120"/>
      <c r="S190" s="120"/>
      <c r="T190" s="120"/>
      <c r="U190" s="120"/>
      <c r="V190" s="120"/>
      <c r="W190" s="117"/>
      <c r="X190" s="117">
        <f t="shared" si="2"/>
        <v>0</v>
      </c>
      <c r="Y190" s="129"/>
    </row>
    <row r="191" spans="1:25" ht="78.75">
      <c r="A191" s="469"/>
      <c r="B191" s="469"/>
      <c r="C191" s="469"/>
      <c r="D191" s="106">
        <v>182</v>
      </c>
      <c r="E191" s="106" t="s">
        <v>288</v>
      </c>
      <c r="F191" s="120"/>
      <c r="G191" s="120"/>
      <c r="H191" s="120"/>
      <c r="I191" s="120"/>
      <c r="J191" s="116">
        <f t="shared" si="17"/>
        <v>0</v>
      </c>
      <c r="K191" s="120"/>
      <c r="L191" s="120"/>
      <c r="M191" s="120"/>
      <c r="N191" s="120"/>
      <c r="O191" s="120"/>
      <c r="P191" s="116">
        <f t="shared" si="16"/>
        <v>0</v>
      </c>
      <c r="Q191" s="120"/>
      <c r="R191" s="120"/>
      <c r="S191" s="122"/>
      <c r="T191" s="167">
        <f>(4*0.6*6)</f>
        <v>14.399999999999999</v>
      </c>
      <c r="U191" s="120"/>
      <c r="V191" s="120"/>
      <c r="W191" s="117"/>
      <c r="X191" s="117">
        <f t="shared" si="2"/>
        <v>14.399999999999999</v>
      </c>
      <c r="Y191" s="141" t="s">
        <v>713</v>
      </c>
    </row>
    <row r="192" spans="1:25" ht="63" hidden="1">
      <c r="A192" s="469"/>
      <c r="B192" s="469"/>
      <c r="C192" s="469"/>
      <c r="D192" s="106">
        <v>183</v>
      </c>
      <c r="E192" s="106" t="s">
        <v>289</v>
      </c>
      <c r="F192" s="120"/>
      <c r="G192" s="120"/>
      <c r="H192" s="120"/>
      <c r="I192" s="120"/>
      <c r="J192" s="116">
        <f t="shared" si="17"/>
        <v>0</v>
      </c>
      <c r="K192" s="120"/>
      <c r="L192" s="120"/>
      <c r="M192" s="120"/>
      <c r="N192" s="120"/>
      <c r="O192" s="120"/>
      <c r="P192" s="116">
        <f t="shared" si="16"/>
        <v>0</v>
      </c>
      <c r="Q192" s="120"/>
      <c r="R192" s="120"/>
      <c r="S192" s="121"/>
      <c r="T192" s="121"/>
      <c r="U192" s="120"/>
      <c r="V192" s="120"/>
      <c r="W192" s="117"/>
      <c r="X192" s="117">
        <f t="shared" si="2"/>
        <v>0</v>
      </c>
      <c r="Y192" s="129"/>
    </row>
    <row r="193" spans="1:25" ht="63">
      <c r="A193" s="469"/>
      <c r="B193" s="106" t="s">
        <v>290</v>
      </c>
      <c r="C193" s="106" t="s">
        <v>291</v>
      </c>
      <c r="D193" s="106">
        <v>184</v>
      </c>
      <c r="E193" s="106" t="s">
        <v>292</v>
      </c>
      <c r="F193" s="120"/>
      <c r="G193" s="120"/>
      <c r="H193" s="120"/>
      <c r="I193" s="120"/>
      <c r="J193" s="116">
        <f t="shared" si="17"/>
        <v>0</v>
      </c>
      <c r="K193" s="120"/>
      <c r="L193" s="120"/>
      <c r="M193" s="120"/>
      <c r="N193" s="120"/>
      <c r="O193" s="120"/>
      <c r="P193" s="116">
        <f t="shared" si="16"/>
        <v>0</v>
      </c>
      <c r="Q193" s="120"/>
      <c r="R193" s="120"/>
      <c r="S193" s="122"/>
      <c r="T193" s="122"/>
      <c r="U193" s="120"/>
      <c r="V193" s="120"/>
      <c r="W193" s="117"/>
      <c r="X193" s="117">
        <f t="shared" si="2"/>
        <v>0</v>
      </c>
      <c r="Y193" s="129"/>
    </row>
    <row r="194" spans="1:25" ht="31.5">
      <c r="A194" s="469"/>
      <c r="B194" s="476" t="s">
        <v>293</v>
      </c>
      <c r="C194" s="476" t="s">
        <v>235</v>
      </c>
      <c r="D194" s="106">
        <v>185</v>
      </c>
      <c r="E194" s="106" t="s">
        <v>236</v>
      </c>
      <c r="F194" s="120"/>
      <c r="G194" s="120"/>
      <c r="H194" s="120"/>
      <c r="I194" s="120"/>
      <c r="J194" s="116">
        <f t="shared" si="17"/>
        <v>0</v>
      </c>
      <c r="K194" s="120"/>
      <c r="L194" s="120"/>
      <c r="M194" s="120"/>
      <c r="N194" s="120"/>
      <c r="O194" s="120"/>
      <c r="P194" s="116">
        <f t="shared" si="16"/>
        <v>0</v>
      </c>
      <c r="Q194" s="120"/>
      <c r="R194" s="120"/>
      <c r="S194" s="120"/>
      <c r="T194" s="120">
        <v>3706.1916199999978</v>
      </c>
      <c r="U194" s="120"/>
      <c r="V194" s="120"/>
      <c r="W194" s="117"/>
      <c r="X194" s="117">
        <f t="shared" si="2"/>
        <v>3706.1916199999978</v>
      </c>
      <c r="Y194" s="98" t="s">
        <v>992</v>
      </c>
    </row>
    <row r="195" spans="1:25" ht="378">
      <c r="A195" s="469"/>
      <c r="B195" s="469"/>
      <c r="C195" s="469"/>
      <c r="D195" s="106">
        <v>186</v>
      </c>
      <c r="E195" s="106" t="s">
        <v>237</v>
      </c>
      <c r="F195" s="120">
        <v>0.186</v>
      </c>
      <c r="G195" s="120"/>
      <c r="H195" s="120"/>
      <c r="I195" s="120"/>
      <c r="J195" s="116">
        <f t="shared" si="17"/>
        <v>0</v>
      </c>
      <c r="K195" s="120"/>
      <c r="L195" s="120"/>
      <c r="M195" s="120"/>
      <c r="N195" s="120"/>
      <c r="O195" s="120"/>
      <c r="P195" s="116">
        <f t="shared" si="16"/>
        <v>0</v>
      </c>
      <c r="Q195" s="120"/>
      <c r="R195" s="120"/>
      <c r="S195" s="121"/>
      <c r="T195" s="121">
        <f>9.2+68.234</f>
        <v>77.433999999999997</v>
      </c>
      <c r="U195" s="120"/>
      <c r="V195" s="120"/>
      <c r="W195" s="117"/>
      <c r="X195" s="117">
        <f t="shared" si="2"/>
        <v>77.62</v>
      </c>
      <c r="Y195" s="98" t="s">
        <v>973</v>
      </c>
    </row>
    <row r="196" spans="1:25" ht="31.5">
      <c r="A196" s="469"/>
      <c r="B196" s="469"/>
      <c r="C196" s="469"/>
      <c r="D196" s="106">
        <v>187</v>
      </c>
      <c r="E196" s="106" t="s">
        <v>294</v>
      </c>
      <c r="F196" s="120"/>
      <c r="G196" s="120"/>
      <c r="H196" s="120"/>
      <c r="I196" s="120"/>
      <c r="J196" s="116">
        <f t="shared" si="17"/>
        <v>0</v>
      </c>
      <c r="K196" s="120"/>
      <c r="L196" s="120"/>
      <c r="M196" s="120"/>
      <c r="N196" s="120"/>
      <c r="O196" s="120"/>
      <c r="P196" s="116">
        <f t="shared" si="16"/>
        <v>0</v>
      </c>
      <c r="Q196" s="120"/>
      <c r="R196" s="120"/>
      <c r="S196" s="120"/>
      <c r="T196" s="120">
        <v>1595.6010000000001</v>
      </c>
      <c r="U196" s="120"/>
      <c r="V196" s="120"/>
      <c r="W196" s="117"/>
      <c r="X196" s="117">
        <f t="shared" si="2"/>
        <v>1595.6010000000001</v>
      </c>
      <c r="Y196" s="98" t="s">
        <v>993</v>
      </c>
    </row>
    <row r="197" spans="1:25" ht="15.75">
      <c r="A197" s="469"/>
      <c r="B197" s="469"/>
      <c r="C197" s="469"/>
      <c r="D197" s="106">
        <v>188</v>
      </c>
      <c r="E197" s="106" t="s">
        <v>238</v>
      </c>
      <c r="F197" s="120"/>
      <c r="G197" s="120"/>
      <c r="H197" s="120"/>
      <c r="I197" s="120"/>
      <c r="J197" s="116">
        <f t="shared" si="17"/>
        <v>0</v>
      </c>
      <c r="K197" s="120"/>
      <c r="L197" s="120"/>
      <c r="M197" s="120"/>
      <c r="N197" s="120"/>
      <c r="O197" s="120"/>
      <c r="P197" s="116">
        <f t="shared" si="16"/>
        <v>0</v>
      </c>
      <c r="Q197" s="120"/>
      <c r="R197" s="120"/>
      <c r="S197" s="120"/>
      <c r="T197" s="120"/>
      <c r="U197" s="120"/>
      <c r="V197" s="120"/>
      <c r="W197" s="117"/>
      <c r="X197" s="117">
        <f t="shared" si="2"/>
        <v>0</v>
      </c>
      <c r="Y197" s="98"/>
    </row>
    <row r="198" spans="1:25" ht="47.25">
      <c r="A198" s="469"/>
      <c r="B198" s="469"/>
      <c r="C198" s="469"/>
      <c r="D198" s="106">
        <v>189</v>
      </c>
      <c r="E198" s="106" t="s">
        <v>295</v>
      </c>
      <c r="F198" s="120"/>
      <c r="G198" s="120"/>
      <c r="H198" s="120"/>
      <c r="I198" s="120"/>
      <c r="J198" s="116">
        <f t="shared" si="17"/>
        <v>0</v>
      </c>
      <c r="K198" s="120"/>
      <c r="L198" s="120"/>
      <c r="M198" s="120"/>
      <c r="N198" s="120"/>
      <c r="O198" s="120"/>
      <c r="P198" s="116">
        <f t="shared" si="16"/>
        <v>0</v>
      </c>
      <c r="Q198" s="120"/>
      <c r="R198" s="120"/>
      <c r="S198" s="120"/>
      <c r="T198" s="120"/>
      <c r="U198" s="120"/>
      <c r="V198" s="120"/>
      <c r="W198" s="117"/>
      <c r="X198" s="117">
        <f t="shared" si="2"/>
        <v>0</v>
      </c>
      <c r="Y198" s="98"/>
    </row>
    <row r="199" spans="1:25" ht="47.25" hidden="1">
      <c r="A199" s="469"/>
      <c r="B199" s="469"/>
      <c r="C199" s="469"/>
      <c r="D199" s="106">
        <v>190</v>
      </c>
      <c r="E199" s="106" t="s">
        <v>296</v>
      </c>
      <c r="F199" s="120"/>
      <c r="G199" s="120"/>
      <c r="H199" s="120"/>
      <c r="I199" s="120"/>
      <c r="J199" s="116">
        <f t="shared" si="17"/>
        <v>0</v>
      </c>
      <c r="K199" s="120"/>
      <c r="L199" s="120"/>
      <c r="M199" s="120"/>
      <c r="N199" s="120"/>
      <c r="O199" s="120"/>
      <c r="P199" s="116">
        <f t="shared" si="16"/>
        <v>0</v>
      </c>
      <c r="Q199" s="120"/>
      <c r="R199" s="120"/>
      <c r="S199" s="121"/>
      <c r="T199" s="121"/>
      <c r="U199" s="120"/>
      <c r="V199" s="120"/>
      <c r="W199" s="117"/>
      <c r="X199" s="117">
        <f t="shared" si="2"/>
        <v>0</v>
      </c>
      <c r="Y199" s="98"/>
    </row>
    <row r="200" spans="1:25" ht="31.5">
      <c r="A200" s="469"/>
      <c r="B200" s="476" t="s">
        <v>297</v>
      </c>
      <c r="C200" s="476" t="s">
        <v>298</v>
      </c>
      <c r="D200" s="106">
        <v>191</v>
      </c>
      <c r="E200" s="106" t="s">
        <v>299</v>
      </c>
      <c r="F200" s="120"/>
      <c r="G200" s="120"/>
      <c r="H200" s="120"/>
      <c r="I200" s="120"/>
      <c r="J200" s="116">
        <f t="shared" si="17"/>
        <v>0</v>
      </c>
      <c r="K200" s="120"/>
      <c r="L200" s="120"/>
      <c r="M200" s="120"/>
      <c r="N200" s="120"/>
      <c r="O200" s="120"/>
      <c r="P200" s="116">
        <f t="shared" si="16"/>
        <v>0</v>
      </c>
      <c r="Q200" s="120"/>
      <c r="R200" s="120"/>
      <c r="S200" s="120"/>
      <c r="T200" s="120"/>
      <c r="U200" s="120"/>
      <c r="V200" s="120"/>
      <c r="W200" s="117"/>
      <c r="X200" s="117">
        <f t="shared" si="2"/>
        <v>0</v>
      </c>
      <c r="Y200" s="98"/>
    </row>
    <row r="201" spans="1:25" ht="31.5">
      <c r="A201" s="469"/>
      <c r="B201" s="469"/>
      <c r="C201" s="469"/>
      <c r="D201" s="106">
        <v>192</v>
      </c>
      <c r="E201" s="106" t="s">
        <v>300</v>
      </c>
      <c r="F201" s="120"/>
      <c r="G201" s="120"/>
      <c r="H201" s="120"/>
      <c r="I201" s="121"/>
      <c r="J201" s="125">
        <f t="shared" si="17"/>
        <v>0</v>
      </c>
      <c r="K201" s="120"/>
      <c r="L201" s="120"/>
      <c r="M201" s="120"/>
      <c r="N201" s="120"/>
      <c r="O201" s="120"/>
      <c r="P201" s="116">
        <f t="shared" si="16"/>
        <v>0</v>
      </c>
      <c r="Q201" s="120"/>
      <c r="R201" s="120"/>
      <c r="S201" s="122"/>
      <c r="T201" s="122"/>
      <c r="U201" s="120"/>
      <c r="V201" s="120"/>
      <c r="W201" s="117"/>
      <c r="X201" s="117">
        <f t="shared" si="2"/>
        <v>0</v>
      </c>
      <c r="Y201" s="98"/>
    </row>
    <row r="202" spans="1:25" ht="31.5">
      <c r="A202" s="469"/>
      <c r="B202" s="476" t="s">
        <v>301</v>
      </c>
      <c r="C202" s="476" t="s">
        <v>241</v>
      </c>
      <c r="D202" s="106">
        <v>193</v>
      </c>
      <c r="E202" s="106" t="s">
        <v>302</v>
      </c>
      <c r="F202" s="120"/>
      <c r="G202" s="120"/>
      <c r="H202" s="120"/>
      <c r="I202" s="120"/>
      <c r="J202" s="116">
        <f t="shared" si="17"/>
        <v>0</v>
      </c>
      <c r="K202" s="120"/>
      <c r="L202" s="120"/>
      <c r="M202" s="120"/>
      <c r="N202" s="120"/>
      <c r="O202" s="120"/>
      <c r="P202" s="116">
        <f t="shared" si="16"/>
        <v>0</v>
      </c>
      <c r="Q202" s="120"/>
      <c r="R202" s="120"/>
      <c r="S202" s="122"/>
      <c r="T202" s="122"/>
      <c r="U202" s="121"/>
      <c r="V202" s="121"/>
      <c r="W202" s="117"/>
      <c r="X202" s="117">
        <f t="shared" si="2"/>
        <v>0</v>
      </c>
      <c r="Y202" s="98"/>
    </row>
    <row r="203" spans="1:25" ht="31.5">
      <c r="A203" s="469"/>
      <c r="B203" s="469"/>
      <c r="C203" s="469"/>
      <c r="D203" s="106">
        <v>194</v>
      </c>
      <c r="E203" s="106" t="s">
        <v>242</v>
      </c>
      <c r="F203" s="120"/>
      <c r="G203" s="120"/>
      <c r="H203" s="120"/>
      <c r="I203" s="120"/>
      <c r="J203" s="116">
        <f t="shared" si="17"/>
        <v>0</v>
      </c>
      <c r="K203" s="120"/>
      <c r="L203" s="120"/>
      <c r="M203" s="120"/>
      <c r="N203" s="120"/>
      <c r="O203" s="120"/>
      <c r="P203" s="116">
        <f t="shared" si="16"/>
        <v>0</v>
      </c>
      <c r="Q203" s="120"/>
      <c r="R203" s="120"/>
      <c r="S203" s="120"/>
      <c r="T203" s="120">
        <v>106.84</v>
      </c>
      <c r="U203" s="120"/>
      <c r="V203" s="120"/>
      <c r="W203" s="117"/>
      <c r="X203" s="117">
        <f t="shared" si="2"/>
        <v>106.84</v>
      </c>
      <c r="Y203" s="98" t="s">
        <v>1221</v>
      </c>
    </row>
    <row r="204" spans="1:25" ht="50.25" customHeight="1">
      <c r="A204" s="469"/>
      <c r="B204" s="476" t="s">
        <v>303</v>
      </c>
      <c r="C204" s="476" t="s">
        <v>304</v>
      </c>
      <c r="D204" s="106">
        <v>195</v>
      </c>
      <c r="E204" s="106" t="s">
        <v>305</v>
      </c>
      <c r="F204" s="120"/>
      <c r="G204" s="120"/>
      <c r="H204" s="120"/>
      <c r="I204" s="120"/>
      <c r="J204" s="116">
        <f t="shared" si="17"/>
        <v>0</v>
      </c>
      <c r="K204" s="120"/>
      <c r="L204" s="120"/>
      <c r="M204" s="120"/>
      <c r="N204" s="120"/>
      <c r="O204" s="120"/>
      <c r="P204" s="116">
        <f t="shared" si="16"/>
        <v>0</v>
      </c>
      <c r="Q204" s="120"/>
      <c r="R204" s="120"/>
      <c r="S204" s="122"/>
      <c r="T204" s="122"/>
      <c r="U204" s="120"/>
      <c r="V204" s="120"/>
      <c r="W204" s="117"/>
      <c r="X204" s="117">
        <f t="shared" si="2"/>
        <v>0</v>
      </c>
      <c r="Y204" s="98"/>
    </row>
    <row r="205" spans="1:25" ht="31.5">
      <c r="A205" s="469"/>
      <c r="B205" s="469"/>
      <c r="C205" s="469"/>
      <c r="D205" s="106">
        <v>196</v>
      </c>
      <c r="E205" s="106" t="s">
        <v>306</v>
      </c>
      <c r="F205" s="120"/>
      <c r="G205" s="120"/>
      <c r="H205" s="120"/>
      <c r="I205" s="120"/>
      <c r="J205" s="116">
        <f t="shared" si="17"/>
        <v>0</v>
      </c>
      <c r="K205" s="120"/>
      <c r="L205" s="120"/>
      <c r="M205" s="120"/>
      <c r="N205" s="120"/>
      <c r="O205" s="120"/>
      <c r="P205" s="116">
        <f t="shared" si="16"/>
        <v>0</v>
      </c>
      <c r="Q205" s="120"/>
      <c r="R205" s="120"/>
      <c r="S205" s="120"/>
      <c r="T205" s="120"/>
      <c r="U205" s="120"/>
      <c r="V205" s="120"/>
      <c r="W205" s="117"/>
      <c r="X205" s="117">
        <f t="shared" si="2"/>
        <v>0</v>
      </c>
      <c r="Y205" s="98"/>
    </row>
    <row r="206" spans="1:25" ht="15.75">
      <c r="A206" s="469"/>
      <c r="B206" s="469"/>
      <c r="C206" s="469"/>
      <c r="D206" s="106">
        <v>197</v>
      </c>
      <c r="E206" s="106" t="s">
        <v>307</v>
      </c>
      <c r="F206" s="135"/>
      <c r="G206" s="135"/>
      <c r="H206" s="135"/>
      <c r="I206" s="135"/>
      <c r="J206" s="116">
        <f t="shared" si="17"/>
        <v>0</v>
      </c>
      <c r="K206" s="135"/>
      <c r="L206" s="135"/>
      <c r="M206" s="135"/>
      <c r="N206" s="135"/>
      <c r="O206" s="135"/>
      <c r="P206" s="116">
        <f t="shared" si="16"/>
        <v>0</v>
      </c>
      <c r="Q206" s="135"/>
      <c r="R206" s="135"/>
      <c r="S206" s="170"/>
      <c r="T206" s="170"/>
      <c r="U206" s="129"/>
      <c r="V206" s="129"/>
      <c r="W206" s="171"/>
      <c r="X206" s="117">
        <f t="shared" si="2"/>
        <v>0</v>
      </c>
      <c r="Y206" s="98"/>
    </row>
    <row r="207" spans="1:25" ht="63">
      <c r="A207" s="469"/>
      <c r="B207" s="106" t="s">
        <v>308</v>
      </c>
      <c r="C207" s="106" t="s">
        <v>246</v>
      </c>
      <c r="D207" s="106">
        <v>198</v>
      </c>
      <c r="E207" s="106" t="s">
        <v>247</v>
      </c>
      <c r="F207" s="120"/>
      <c r="G207" s="120"/>
      <c r="H207" s="120"/>
      <c r="I207" s="120"/>
      <c r="J207" s="116">
        <f t="shared" si="17"/>
        <v>0</v>
      </c>
      <c r="K207" s="120"/>
      <c r="L207" s="120"/>
      <c r="M207" s="120"/>
      <c r="N207" s="120"/>
      <c r="O207" s="120"/>
      <c r="P207" s="116">
        <f t="shared" si="16"/>
        <v>0</v>
      </c>
      <c r="Q207" s="120"/>
      <c r="R207" s="120"/>
      <c r="S207" s="120"/>
      <c r="T207" s="120"/>
      <c r="U207" s="120"/>
      <c r="V207" s="120"/>
      <c r="W207" s="117"/>
      <c r="X207" s="117">
        <f t="shared" si="2"/>
        <v>0</v>
      </c>
      <c r="Y207" s="98"/>
    </row>
    <row r="208" spans="1:25" ht="31.5">
      <c r="A208" s="469"/>
      <c r="B208" s="106" t="s">
        <v>309</v>
      </c>
      <c r="C208" s="106" t="s">
        <v>249</v>
      </c>
      <c r="D208" s="106">
        <v>199</v>
      </c>
      <c r="E208" s="106" t="s">
        <v>250</v>
      </c>
      <c r="F208" s="151"/>
      <c r="G208" s="151"/>
      <c r="H208" s="151"/>
      <c r="I208" s="151"/>
      <c r="J208" s="116">
        <f t="shared" si="17"/>
        <v>0</v>
      </c>
      <c r="K208" s="151"/>
      <c r="L208" s="151"/>
      <c r="M208" s="151"/>
      <c r="N208" s="151"/>
      <c r="O208" s="151"/>
      <c r="P208" s="116">
        <f t="shared" si="16"/>
        <v>0</v>
      </c>
      <c r="Q208" s="151"/>
      <c r="R208" s="151"/>
      <c r="S208" s="151"/>
      <c r="T208" s="151">
        <v>142.30000000000001</v>
      </c>
      <c r="U208" s="151"/>
      <c r="V208" s="151"/>
      <c r="W208" s="117"/>
      <c r="X208" s="117">
        <f t="shared" si="2"/>
        <v>142.30000000000001</v>
      </c>
      <c r="Y208" s="98" t="s">
        <v>987</v>
      </c>
    </row>
    <row r="209" spans="1:25" ht="63">
      <c r="A209" s="469"/>
      <c r="B209" s="106" t="s">
        <v>310</v>
      </c>
      <c r="C209" s="172" t="s">
        <v>311</v>
      </c>
      <c r="D209" s="106">
        <v>200</v>
      </c>
      <c r="E209" s="106" t="s">
        <v>312</v>
      </c>
      <c r="F209" s="173"/>
      <c r="G209" s="173"/>
      <c r="H209" s="173"/>
      <c r="I209" s="173"/>
      <c r="J209" s="116">
        <f t="shared" si="17"/>
        <v>0</v>
      </c>
      <c r="K209" s="173"/>
      <c r="L209" s="173"/>
      <c r="M209" s="173"/>
      <c r="N209" s="173"/>
      <c r="O209" s="173"/>
      <c r="P209" s="116">
        <f t="shared" si="16"/>
        <v>0</v>
      </c>
      <c r="Q209" s="173"/>
      <c r="R209" s="173"/>
      <c r="S209" s="173"/>
      <c r="T209" s="173"/>
      <c r="U209" s="173"/>
      <c r="V209" s="173"/>
      <c r="W209" s="117"/>
      <c r="X209" s="117">
        <f t="shared" si="2"/>
        <v>0</v>
      </c>
      <c r="Y209" s="98"/>
    </row>
    <row r="210" spans="1:25" ht="94.5">
      <c r="A210" s="469"/>
      <c r="B210" s="174" t="s">
        <v>313</v>
      </c>
      <c r="C210" s="174" t="s">
        <v>314</v>
      </c>
      <c r="D210" s="175">
        <v>201</v>
      </c>
      <c r="E210" s="106" t="s">
        <v>315</v>
      </c>
      <c r="F210" s="173"/>
      <c r="G210" s="173"/>
      <c r="H210" s="173"/>
      <c r="I210" s="173"/>
      <c r="J210" s="116">
        <f t="shared" si="17"/>
        <v>0</v>
      </c>
      <c r="K210" s="173"/>
      <c r="L210" s="173"/>
      <c r="M210" s="173"/>
      <c r="N210" s="173"/>
      <c r="O210" s="173"/>
      <c r="P210" s="116">
        <f t="shared" si="16"/>
        <v>0</v>
      </c>
      <c r="Q210" s="173"/>
      <c r="R210" s="173"/>
      <c r="S210" s="173"/>
      <c r="T210" s="173">
        <v>52.034199999999998</v>
      </c>
      <c r="U210" s="173"/>
      <c r="V210" s="173"/>
      <c r="W210" s="117"/>
      <c r="X210" s="117">
        <f t="shared" si="2"/>
        <v>52.034199999999998</v>
      </c>
      <c r="Y210" s="98" t="s">
        <v>1162</v>
      </c>
    </row>
    <row r="211" spans="1:25" ht="47.25">
      <c r="A211" s="469"/>
      <c r="B211" s="174" t="s">
        <v>316</v>
      </c>
      <c r="C211" s="174" t="s">
        <v>317</v>
      </c>
      <c r="D211" s="175">
        <v>202</v>
      </c>
      <c r="E211" s="106" t="s">
        <v>318</v>
      </c>
      <c r="F211" s="173"/>
      <c r="G211" s="173"/>
      <c r="H211" s="173"/>
      <c r="I211" s="173"/>
      <c r="J211" s="116">
        <f t="shared" si="17"/>
        <v>0</v>
      </c>
      <c r="K211" s="173"/>
      <c r="L211" s="173"/>
      <c r="M211" s="173"/>
      <c r="N211" s="173"/>
      <c r="O211" s="173"/>
      <c r="P211" s="116">
        <f t="shared" si="16"/>
        <v>0</v>
      </c>
      <c r="Q211" s="173"/>
      <c r="R211" s="173"/>
      <c r="S211" s="173"/>
      <c r="T211" s="97">
        <v>1917.6491000000001</v>
      </c>
      <c r="U211" s="97"/>
      <c r="V211" s="173"/>
      <c r="W211" s="117"/>
      <c r="X211" s="117">
        <f t="shared" si="2"/>
        <v>1917.6491000000001</v>
      </c>
      <c r="Y211" s="98" t="s">
        <v>559</v>
      </c>
    </row>
    <row r="212" spans="1:25" ht="94.5">
      <c r="A212" s="469"/>
      <c r="B212" s="174" t="s">
        <v>319</v>
      </c>
      <c r="C212" s="174" t="s">
        <v>320</v>
      </c>
      <c r="D212" s="175">
        <v>203</v>
      </c>
      <c r="E212" s="106" t="s">
        <v>321</v>
      </c>
      <c r="F212" s="173"/>
      <c r="G212" s="173"/>
      <c r="H212" s="173"/>
      <c r="I212" s="173"/>
      <c r="J212" s="116">
        <f t="shared" si="17"/>
        <v>0</v>
      </c>
      <c r="K212" s="173"/>
      <c r="L212" s="173"/>
      <c r="M212" s="173"/>
      <c r="N212" s="173"/>
      <c r="O212" s="173"/>
      <c r="P212" s="116">
        <f t="shared" si="16"/>
        <v>0</v>
      </c>
      <c r="Q212" s="173"/>
      <c r="R212" s="173"/>
      <c r="S212" s="173"/>
      <c r="T212" s="173"/>
      <c r="U212" s="173"/>
      <c r="V212" s="173"/>
      <c r="W212" s="117"/>
      <c r="X212" s="117">
        <f t="shared" si="2"/>
        <v>0</v>
      </c>
      <c r="Y212" s="98"/>
    </row>
    <row r="213" spans="1:25" ht="47.25">
      <c r="A213" s="469"/>
      <c r="B213" s="174" t="s">
        <v>322</v>
      </c>
      <c r="C213" s="174" t="s">
        <v>323</v>
      </c>
      <c r="D213" s="175">
        <v>204</v>
      </c>
      <c r="E213" s="106" t="s">
        <v>324</v>
      </c>
      <c r="F213" s="173"/>
      <c r="G213" s="173"/>
      <c r="H213" s="173"/>
      <c r="I213" s="173"/>
      <c r="J213" s="116">
        <f t="shared" si="17"/>
        <v>0</v>
      </c>
      <c r="K213" s="173"/>
      <c r="L213" s="173"/>
      <c r="M213" s="173"/>
      <c r="N213" s="173"/>
      <c r="O213" s="173"/>
      <c r="P213" s="116">
        <f t="shared" si="16"/>
        <v>0</v>
      </c>
      <c r="Q213" s="173"/>
      <c r="R213" s="173"/>
      <c r="S213" s="173"/>
      <c r="T213" s="173">
        <v>27.998000000000001</v>
      </c>
      <c r="U213" s="173"/>
      <c r="V213" s="173"/>
      <c r="W213" s="117"/>
      <c r="X213" s="178">
        <f t="shared" si="2"/>
        <v>27.998000000000001</v>
      </c>
      <c r="Y213" s="98" t="s">
        <v>676</v>
      </c>
    </row>
    <row r="214" spans="1:25" ht="63">
      <c r="A214" s="469"/>
      <c r="B214" s="174" t="s">
        <v>326</v>
      </c>
      <c r="C214" s="174" t="s">
        <v>291</v>
      </c>
      <c r="D214" s="175">
        <v>205</v>
      </c>
      <c r="E214" s="106" t="s">
        <v>327</v>
      </c>
      <c r="F214" s="173"/>
      <c r="G214" s="173"/>
      <c r="H214" s="173"/>
      <c r="I214" s="173"/>
      <c r="J214" s="116">
        <f t="shared" si="17"/>
        <v>0</v>
      </c>
      <c r="K214" s="173"/>
      <c r="L214" s="173"/>
      <c r="M214" s="173"/>
      <c r="N214" s="173"/>
      <c r="O214" s="173"/>
      <c r="P214" s="116">
        <f t="shared" si="16"/>
        <v>0</v>
      </c>
      <c r="Q214" s="173"/>
      <c r="R214" s="173"/>
      <c r="S214" s="173"/>
      <c r="T214" s="173">
        <v>0</v>
      </c>
      <c r="U214" s="173"/>
      <c r="V214" s="173"/>
      <c r="W214" s="117"/>
      <c r="X214" s="117">
        <f t="shared" si="2"/>
        <v>0</v>
      </c>
      <c r="Y214" s="98"/>
    </row>
    <row r="215" spans="1:25" ht="31.5">
      <c r="A215" s="469"/>
      <c r="B215" s="174" t="s">
        <v>329</v>
      </c>
      <c r="C215" s="174" t="s">
        <v>246</v>
      </c>
      <c r="D215" s="175">
        <v>206</v>
      </c>
      <c r="E215" s="106" t="s">
        <v>330</v>
      </c>
      <c r="F215" s="173"/>
      <c r="G215" s="173"/>
      <c r="H215" s="173"/>
      <c r="I215" s="173"/>
      <c r="J215" s="116">
        <f t="shared" si="17"/>
        <v>0</v>
      </c>
      <c r="K215" s="173"/>
      <c r="L215" s="173"/>
      <c r="M215" s="173"/>
      <c r="N215" s="173"/>
      <c r="O215" s="173"/>
      <c r="P215" s="116">
        <f t="shared" si="16"/>
        <v>0</v>
      </c>
      <c r="Q215" s="173"/>
      <c r="R215" s="173"/>
      <c r="S215" s="173"/>
      <c r="T215" s="173"/>
      <c r="U215" s="173"/>
      <c r="V215" s="173"/>
      <c r="W215" s="117"/>
      <c r="X215" s="117">
        <f t="shared" si="2"/>
        <v>0</v>
      </c>
      <c r="Y215" s="98"/>
    </row>
    <row r="216" spans="1:25" s="110" customFormat="1" ht="26.25" customHeight="1">
      <c r="A216" s="469"/>
      <c r="B216" s="478" t="s">
        <v>331</v>
      </c>
      <c r="C216" s="479"/>
      <c r="D216" s="479"/>
      <c r="E216" s="99"/>
      <c r="F216" s="100">
        <f t="shared" ref="F216:W216" si="18">SUM(F159:F215)</f>
        <v>0.186</v>
      </c>
      <c r="G216" s="101">
        <f t="shared" si="18"/>
        <v>0</v>
      </c>
      <c r="H216" s="101">
        <f t="shared" si="18"/>
        <v>145</v>
      </c>
      <c r="I216" s="101">
        <f t="shared" si="18"/>
        <v>0</v>
      </c>
      <c r="J216" s="101">
        <f t="shared" si="18"/>
        <v>145</v>
      </c>
      <c r="K216" s="100">
        <f t="shared" si="18"/>
        <v>0</v>
      </c>
      <c r="L216" s="100">
        <f t="shared" si="18"/>
        <v>0</v>
      </c>
      <c r="M216" s="100">
        <f t="shared" si="18"/>
        <v>0</v>
      </c>
      <c r="N216" s="100">
        <f t="shared" si="18"/>
        <v>0</v>
      </c>
      <c r="O216" s="100">
        <f t="shared" si="18"/>
        <v>0</v>
      </c>
      <c r="P216" s="100">
        <f t="shared" si="18"/>
        <v>0</v>
      </c>
      <c r="Q216" s="100">
        <f t="shared" si="18"/>
        <v>0</v>
      </c>
      <c r="R216" s="100">
        <f t="shared" si="18"/>
        <v>11</v>
      </c>
      <c r="S216" s="101">
        <f t="shared" si="18"/>
        <v>0</v>
      </c>
      <c r="T216" s="101">
        <f t="shared" si="18"/>
        <v>7836.7119199999979</v>
      </c>
      <c r="U216" s="100">
        <f t="shared" si="18"/>
        <v>0</v>
      </c>
      <c r="V216" s="100">
        <f t="shared" si="18"/>
        <v>0</v>
      </c>
      <c r="W216" s="102">
        <f t="shared" si="18"/>
        <v>0</v>
      </c>
      <c r="X216" s="102">
        <f t="shared" si="2"/>
        <v>7992.8979199999976</v>
      </c>
      <c r="Y216" s="107"/>
    </row>
    <row r="217" spans="1:25" ht="42.75" customHeight="1">
      <c r="A217" s="480" t="s">
        <v>332</v>
      </c>
      <c r="B217" s="469"/>
      <c r="C217" s="469"/>
      <c r="D217" s="469"/>
      <c r="E217" s="103"/>
      <c r="F217" s="104">
        <f t="shared" ref="F217:W217" si="19">F216+F158+F134+F93+F68</f>
        <v>169.71867</v>
      </c>
      <c r="G217" s="105">
        <f t="shared" si="19"/>
        <v>0</v>
      </c>
      <c r="H217" s="105">
        <f t="shared" si="19"/>
        <v>145</v>
      </c>
      <c r="I217" s="105">
        <f t="shared" si="19"/>
        <v>13.65</v>
      </c>
      <c r="J217" s="105">
        <f t="shared" si="19"/>
        <v>158.65</v>
      </c>
      <c r="K217" s="104">
        <f t="shared" si="19"/>
        <v>0</v>
      </c>
      <c r="L217" s="104">
        <f t="shared" si="19"/>
        <v>65.850999999999999</v>
      </c>
      <c r="M217" s="104">
        <f t="shared" si="19"/>
        <v>0</v>
      </c>
      <c r="N217" s="104">
        <f t="shared" si="19"/>
        <v>0</v>
      </c>
      <c r="O217" s="104">
        <f t="shared" si="19"/>
        <v>134.0504</v>
      </c>
      <c r="P217" s="104">
        <f t="shared" si="19"/>
        <v>134.0504</v>
      </c>
      <c r="Q217" s="104">
        <f t="shared" si="19"/>
        <v>0</v>
      </c>
      <c r="R217" s="104">
        <f t="shared" si="19"/>
        <v>232.91789999999997</v>
      </c>
      <c r="S217" s="105">
        <f t="shared" si="19"/>
        <v>0</v>
      </c>
      <c r="T217" s="105">
        <f t="shared" si="19"/>
        <v>10528.074669999998</v>
      </c>
      <c r="U217" s="104">
        <f t="shared" si="19"/>
        <v>0</v>
      </c>
      <c r="V217" s="104">
        <f t="shared" si="19"/>
        <v>19</v>
      </c>
      <c r="W217" s="104">
        <f t="shared" si="19"/>
        <v>0</v>
      </c>
      <c r="X217" s="104">
        <f t="shared" si="2"/>
        <v>11308.262639999997</v>
      </c>
      <c r="Y217" s="108"/>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row>
    <row r="384" spans="1:25" ht="15.75" customHeight="1">
      <c r="A384" s="94"/>
      <c r="B384" s="94"/>
      <c r="C384" s="94"/>
      <c r="D384" s="94"/>
      <c r="E384" s="179"/>
      <c r="F384" s="94"/>
      <c r="G384" s="94"/>
      <c r="H384" s="94"/>
      <c r="I384" s="94"/>
      <c r="J384" s="94"/>
      <c r="K384" s="94"/>
      <c r="L384" s="94"/>
      <c r="M384" s="94"/>
      <c r="N384" s="94"/>
      <c r="O384" s="94"/>
      <c r="P384" s="94"/>
      <c r="Q384" s="94"/>
      <c r="R384" s="94"/>
      <c r="S384" s="94"/>
      <c r="T384" s="94"/>
      <c r="U384" s="94"/>
      <c r="V384" s="94"/>
      <c r="W384" s="94"/>
      <c r="X384" s="94"/>
      <c r="Y384" s="38"/>
    </row>
    <row r="385" spans="1:25" ht="15.75" customHeight="1">
      <c r="A385" s="94"/>
      <c r="B385" s="94"/>
      <c r="C385" s="94"/>
      <c r="D385" s="94"/>
      <c r="E385" s="179"/>
      <c r="F385" s="94"/>
      <c r="G385" s="94"/>
      <c r="H385" s="94"/>
      <c r="I385" s="94"/>
      <c r="J385" s="94"/>
      <c r="K385" s="94"/>
      <c r="L385" s="94"/>
      <c r="M385" s="94"/>
      <c r="N385" s="94"/>
      <c r="O385" s="94"/>
      <c r="P385" s="94"/>
      <c r="Q385" s="94"/>
      <c r="R385" s="94"/>
      <c r="S385" s="94"/>
      <c r="T385" s="94"/>
      <c r="U385" s="94"/>
      <c r="V385" s="94"/>
      <c r="W385" s="94"/>
      <c r="X385" s="94"/>
      <c r="Y385" s="38"/>
    </row>
    <row r="386" spans="1:25" ht="15.75" customHeight="1">
      <c r="A386" s="94"/>
      <c r="B386" s="94"/>
      <c r="C386" s="94"/>
      <c r="D386" s="94"/>
      <c r="E386" s="179"/>
      <c r="F386" s="94"/>
      <c r="G386" s="94"/>
      <c r="H386" s="94"/>
      <c r="I386" s="94"/>
      <c r="J386" s="94"/>
      <c r="K386" s="94"/>
      <c r="L386" s="94"/>
      <c r="M386" s="94"/>
      <c r="N386" s="94"/>
      <c r="O386" s="94"/>
      <c r="P386" s="94"/>
      <c r="Q386" s="94"/>
      <c r="R386" s="94"/>
      <c r="S386" s="94"/>
      <c r="T386" s="94"/>
      <c r="U386" s="94"/>
      <c r="V386" s="94"/>
      <c r="W386" s="94"/>
      <c r="X386" s="94"/>
      <c r="Y386" s="38"/>
    </row>
    <row r="387" spans="1:25" ht="15.75" customHeight="1">
      <c r="A387" s="94"/>
      <c r="B387" s="94"/>
      <c r="C387" s="94"/>
      <c r="D387" s="94"/>
      <c r="E387" s="179"/>
      <c r="F387" s="94"/>
      <c r="G387" s="94"/>
      <c r="H387" s="94"/>
      <c r="I387" s="94"/>
      <c r="J387" s="94"/>
      <c r="K387" s="94"/>
      <c r="L387" s="94"/>
      <c r="M387" s="94"/>
      <c r="N387" s="94"/>
      <c r="O387" s="94"/>
      <c r="P387" s="94"/>
      <c r="Q387" s="94"/>
      <c r="R387" s="94"/>
      <c r="S387" s="94"/>
      <c r="T387" s="94"/>
      <c r="U387" s="94"/>
      <c r="V387" s="94"/>
      <c r="W387" s="94"/>
      <c r="X387" s="94"/>
      <c r="Y387" s="38"/>
    </row>
    <row r="388" spans="1:25" ht="15.75" customHeight="1">
      <c r="A388" s="94"/>
      <c r="B388" s="94"/>
      <c r="C388" s="94"/>
      <c r="D388" s="94"/>
      <c r="E388" s="179"/>
      <c r="F388" s="94"/>
      <c r="G388" s="94"/>
      <c r="H388" s="94"/>
      <c r="I388" s="94"/>
      <c r="J388" s="94"/>
      <c r="K388" s="94"/>
      <c r="L388" s="94"/>
      <c r="M388" s="94"/>
      <c r="N388" s="94"/>
      <c r="O388" s="94"/>
      <c r="P388" s="94"/>
      <c r="Q388" s="94"/>
      <c r="R388" s="94"/>
      <c r="S388" s="94"/>
      <c r="T388" s="94"/>
      <c r="U388" s="94"/>
      <c r="V388" s="94"/>
      <c r="W388" s="94"/>
      <c r="X388" s="94"/>
      <c r="Y388" s="38"/>
    </row>
    <row r="389" spans="1:25" ht="15.75" customHeight="1">
      <c r="A389" s="94"/>
      <c r="B389" s="94"/>
      <c r="C389" s="94"/>
      <c r="D389" s="94"/>
      <c r="E389" s="179"/>
      <c r="F389" s="94"/>
      <c r="G389" s="94"/>
      <c r="H389" s="94"/>
      <c r="I389" s="94"/>
      <c r="J389" s="94"/>
      <c r="K389" s="94"/>
      <c r="L389" s="94"/>
      <c r="M389" s="94"/>
      <c r="N389" s="94"/>
      <c r="O389" s="94"/>
      <c r="P389" s="94"/>
      <c r="Q389" s="94"/>
      <c r="R389" s="94"/>
      <c r="S389" s="94"/>
      <c r="T389" s="94"/>
      <c r="U389" s="94"/>
      <c r="V389" s="94"/>
      <c r="W389" s="94"/>
      <c r="X389" s="94"/>
      <c r="Y389" s="38"/>
    </row>
    <row r="390" spans="1:25" ht="15.75" customHeight="1">
      <c r="A390" s="94"/>
      <c r="B390" s="94"/>
      <c r="C390" s="94"/>
      <c r="D390" s="94"/>
      <c r="E390" s="179"/>
      <c r="F390" s="94"/>
      <c r="G390" s="94"/>
      <c r="H390" s="94"/>
      <c r="I390" s="94"/>
      <c r="J390" s="94"/>
      <c r="K390" s="94"/>
      <c r="L390" s="94"/>
      <c r="M390" s="94"/>
      <c r="N390" s="94"/>
      <c r="O390" s="94"/>
      <c r="P390" s="94"/>
      <c r="Q390" s="94"/>
      <c r="R390" s="94"/>
      <c r="S390" s="94"/>
      <c r="T390" s="94"/>
      <c r="U390" s="94"/>
      <c r="V390" s="94"/>
      <c r="W390" s="94"/>
      <c r="X390" s="94"/>
      <c r="Y390" s="38"/>
    </row>
    <row r="391" spans="1:25" ht="15.75" customHeight="1">
      <c r="A391" s="94"/>
      <c r="B391" s="94"/>
      <c r="C391" s="94"/>
      <c r="D391" s="94"/>
      <c r="E391" s="179"/>
      <c r="F391" s="94"/>
      <c r="G391" s="94"/>
      <c r="H391" s="94"/>
      <c r="I391" s="94"/>
      <c r="J391" s="94"/>
      <c r="K391" s="94"/>
      <c r="L391" s="94"/>
      <c r="M391" s="94"/>
      <c r="N391" s="94"/>
      <c r="O391" s="94"/>
      <c r="P391" s="94"/>
      <c r="Q391" s="94"/>
      <c r="R391" s="94"/>
      <c r="S391" s="94"/>
      <c r="T391" s="94"/>
      <c r="U391" s="94"/>
      <c r="V391" s="94"/>
      <c r="W391" s="94"/>
      <c r="X391" s="94"/>
      <c r="Y391" s="38"/>
    </row>
    <row r="392" spans="1:25" ht="15.75" customHeight="1">
      <c r="A392" s="94"/>
      <c r="B392" s="94"/>
      <c r="C392" s="94"/>
      <c r="D392" s="94"/>
      <c r="E392" s="179"/>
      <c r="F392" s="94"/>
      <c r="G392" s="94"/>
      <c r="H392" s="94"/>
      <c r="I392" s="94"/>
      <c r="J392" s="94"/>
      <c r="K392" s="94"/>
      <c r="L392" s="94"/>
      <c r="M392" s="94"/>
      <c r="N392" s="94"/>
      <c r="O392" s="94"/>
      <c r="P392" s="94"/>
      <c r="Q392" s="94"/>
      <c r="R392" s="94"/>
      <c r="S392" s="94"/>
      <c r="T392" s="94"/>
      <c r="U392" s="94"/>
      <c r="V392" s="94"/>
      <c r="W392" s="94"/>
      <c r="X392" s="94"/>
      <c r="Y392" s="38"/>
    </row>
    <row r="393" spans="1:25" ht="15.75" customHeight="1">
      <c r="A393" s="94"/>
      <c r="B393" s="94"/>
      <c r="C393" s="94"/>
      <c r="D393" s="94"/>
      <c r="E393" s="179"/>
      <c r="F393" s="94"/>
      <c r="G393" s="94"/>
      <c r="H393" s="94"/>
      <c r="I393" s="94"/>
      <c r="J393" s="94"/>
      <c r="K393" s="94"/>
      <c r="L393" s="94"/>
      <c r="M393" s="94"/>
      <c r="N393" s="94"/>
      <c r="O393" s="94"/>
      <c r="P393" s="94"/>
      <c r="Q393" s="94"/>
      <c r="R393" s="94"/>
      <c r="S393" s="94"/>
      <c r="T393" s="94"/>
      <c r="U393" s="94"/>
      <c r="V393" s="94"/>
      <c r="W393" s="94"/>
      <c r="X393" s="94"/>
      <c r="Y393" s="38"/>
    </row>
    <row r="394" spans="1:25" ht="15.75" customHeight="1">
      <c r="A394" s="94"/>
      <c r="B394" s="94"/>
      <c r="C394" s="94"/>
      <c r="D394" s="94"/>
      <c r="E394" s="179"/>
      <c r="F394" s="94"/>
      <c r="G394" s="94"/>
      <c r="H394" s="94"/>
      <c r="I394" s="94"/>
      <c r="J394" s="94"/>
      <c r="K394" s="94"/>
      <c r="L394" s="94"/>
      <c r="M394" s="94"/>
      <c r="N394" s="94"/>
      <c r="O394" s="94"/>
      <c r="P394" s="94"/>
      <c r="Q394" s="94"/>
      <c r="R394" s="94"/>
      <c r="S394" s="94"/>
      <c r="T394" s="94"/>
      <c r="U394" s="94"/>
      <c r="V394" s="94"/>
      <c r="W394" s="94"/>
      <c r="X394" s="94"/>
      <c r="Y394" s="38"/>
    </row>
    <row r="395" spans="1:25" ht="15.75" customHeight="1">
      <c r="A395" s="94"/>
      <c r="B395" s="94"/>
      <c r="C395" s="94"/>
      <c r="D395" s="94"/>
      <c r="E395" s="179"/>
      <c r="F395" s="94"/>
      <c r="G395" s="94"/>
      <c r="H395" s="94"/>
      <c r="I395" s="94"/>
      <c r="J395" s="94"/>
      <c r="K395" s="94"/>
      <c r="L395" s="94"/>
      <c r="M395" s="94"/>
      <c r="N395" s="94"/>
      <c r="O395" s="94"/>
      <c r="P395" s="94"/>
      <c r="Q395" s="94"/>
      <c r="R395" s="94"/>
      <c r="S395" s="94"/>
      <c r="T395" s="94"/>
      <c r="U395" s="94"/>
      <c r="V395" s="94"/>
      <c r="W395" s="94"/>
      <c r="X395" s="94"/>
      <c r="Y395" s="38"/>
    </row>
    <row r="396" spans="1:25" ht="15.75" customHeight="1">
      <c r="A396" s="94"/>
      <c r="B396" s="94"/>
      <c r="C396" s="94"/>
      <c r="D396" s="94"/>
      <c r="E396" s="179"/>
      <c r="F396" s="94"/>
      <c r="G396" s="94"/>
      <c r="H396" s="94"/>
      <c r="I396" s="94"/>
      <c r="J396" s="94"/>
      <c r="K396" s="94"/>
      <c r="L396" s="94"/>
      <c r="M396" s="94"/>
      <c r="N396" s="94"/>
      <c r="O396" s="94"/>
      <c r="P396" s="94"/>
      <c r="Q396" s="94"/>
      <c r="R396" s="94"/>
      <c r="S396" s="94"/>
      <c r="T396" s="94"/>
      <c r="U396" s="94"/>
      <c r="V396" s="94"/>
      <c r="W396" s="94"/>
      <c r="X396" s="94"/>
      <c r="Y396" s="38"/>
    </row>
    <row r="397" spans="1:25" ht="15.75" customHeight="1">
      <c r="A397" s="94"/>
      <c r="B397" s="94"/>
      <c r="C397" s="94"/>
      <c r="D397" s="94"/>
      <c r="E397" s="179"/>
      <c r="F397" s="94"/>
      <c r="G397" s="94"/>
      <c r="H397" s="94"/>
      <c r="I397" s="94"/>
      <c r="J397" s="94"/>
      <c r="K397" s="94"/>
      <c r="L397" s="94"/>
      <c r="M397" s="94"/>
      <c r="N397" s="94"/>
      <c r="O397" s="94"/>
      <c r="P397" s="94"/>
      <c r="Q397" s="94"/>
      <c r="R397" s="94"/>
      <c r="S397" s="94"/>
      <c r="T397" s="94"/>
      <c r="U397" s="94"/>
      <c r="V397" s="94"/>
      <c r="W397" s="94"/>
      <c r="X397" s="94"/>
      <c r="Y397" s="38"/>
    </row>
    <row r="398" spans="1:25" ht="15.75" customHeight="1">
      <c r="A398" s="94"/>
      <c r="B398" s="94"/>
      <c r="C398" s="94"/>
      <c r="D398" s="94"/>
      <c r="E398" s="179"/>
      <c r="F398" s="94"/>
      <c r="G398" s="94"/>
      <c r="H398" s="94"/>
      <c r="I398" s="94"/>
      <c r="J398" s="94"/>
      <c r="K398" s="94"/>
      <c r="L398" s="94"/>
      <c r="M398" s="94"/>
      <c r="N398" s="94"/>
      <c r="O398" s="94"/>
      <c r="P398" s="94"/>
      <c r="Q398" s="94"/>
      <c r="R398" s="94"/>
      <c r="S398" s="94"/>
      <c r="T398" s="94"/>
      <c r="U398" s="94"/>
      <c r="V398" s="94"/>
      <c r="W398" s="94"/>
      <c r="X398" s="94"/>
      <c r="Y398" s="38"/>
    </row>
    <row r="399" spans="1:25" ht="15.75" customHeight="1">
      <c r="A399" s="94"/>
      <c r="B399" s="94"/>
      <c r="C399" s="94"/>
      <c r="D399" s="94"/>
      <c r="E399" s="179"/>
      <c r="F399" s="94"/>
      <c r="G399" s="94"/>
      <c r="H399" s="94"/>
      <c r="I399" s="94"/>
      <c r="J399" s="94"/>
      <c r="K399" s="94"/>
      <c r="L399" s="94"/>
      <c r="M399" s="94"/>
      <c r="N399" s="94"/>
      <c r="O399" s="94"/>
      <c r="P399" s="94"/>
      <c r="Q399" s="94"/>
      <c r="R399" s="94"/>
      <c r="S399" s="94"/>
      <c r="T399" s="94"/>
      <c r="U399" s="94"/>
      <c r="V399" s="94"/>
      <c r="W399" s="94"/>
      <c r="X399" s="94"/>
      <c r="Y399" s="38"/>
    </row>
    <row r="400" spans="1:25" ht="15.75" customHeight="1">
      <c r="A400" s="94"/>
      <c r="B400" s="94"/>
      <c r="C400" s="94"/>
      <c r="D400" s="94"/>
      <c r="E400" s="179"/>
      <c r="F400" s="94"/>
      <c r="G400" s="94"/>
      <c r="H400" s="94"/>
      <c r="I400" s="94"/>
      <c r="J400" s="94"/>
      <c r="K400" s="94"/>
      <c r="L400" s="94"/>
      <c r="M400" s="94"/>
      <c r="N400" s="94"/>
      <c r="O400" s="94"/>
      <c r="P400" s="94"/>
      <c r="Q400" s="94"/>
      <c r="R400" s="94"/>
      <c r="S400" s="94"/>
      <c r="T400" s="94"/>
      <c r="U400" s="94"/>
      <c r="V400" s="94"/>
      <c r="W400" s="94"/>
      <c r="X400" s="94"/>
      <c r="Y400" s="38"/>
    </row>
    <row r="401" spans="1:25" ht="15.75" customHeight="1">
      <c r="A401" s="94"/>
      <c r="B401" s="94"/>
      <c r="C401" s="94"/>
      <c r="D401" s="94"/>
      <c r="E401" s="179"/>
      <c r="F401" s="94"/>
      <c r="G401" s="94"/>
      <c r="H401" s="94"/>
      <c r="I401" s="94"/>
      <c r="J401" s="94"/>
      <c r="K401" s="94"/>
      <c r="L401" s="94"/>
      <c r="M401" s="94"/>
      <c r="N401" s="94"/>
      <c r="O401" s="94"/>
      <c r="P401" s="94"/>
      <c r="Q401" s="94"/>
      <c r="R401" s="94"/>
      <c r="S401" s="94"/>
      <c r="T401" s="94"/>
      <c r="U401" s="94"/>
      <c r="V401" s="94"/>
      <c r="W401" s="94"/>
      <c r="X401" s="94"/>
      <c r="Y401" s="38"/>
    </row>
    <row r="402" spans="1:25" ht="15.75" customHeight="1">
      <c r="A402" s="94"/>
      <c r="B402" s="94"/>
      <c r="C402" s="94"/>
      <c r="D402" s="94"/>
      <c r="E402" s="179"/>
      <c r="F402" s="94"/>
      <c r="G402" s="94"/>
      <c r="H402" s="94"/>
      <c r="I402" s="94"/>
      <c r="J402" s="94"/>
      <c r="K402" s="94"/>
      <c r="L402" s="94"/>
      <c r="M402" s="94"/>
      <c r="N402" s="94"/>
      <c r="O402" s="94"/>
      <c r="P402" s="94"/>
      <c r="Q402" s="94"/>
      <c r="R402" s="94"/>
      <c r="S402" s="94"/>
      <c r="T402" s="94"/>
      <c r="U402" s="94"/>
      <c r="V402" s="94"/>
      <c r="W402" s="94"/>
      <c r="X402" s="94"/>
      <c r="Y402" s="38"/>
    </row>
    <row r="403" spans="1:25" ht="15.75" customHeight="1">
      <c r="A403" s="94"/>
      <c r="B403" s="94"/>
      <c r="C403" s="94"/>
      <c r="D403" s="94"/>
      <c r="E403" s="179"/>
      <c r="F403" s="94"/>
      <c r="G403" s="94"/>
      <c r="H403" s="94"/>
      <c r="I403" s="94"/>
      <c r="J403" s="94"/>
      <c r="K403" s="94"/>
      <c r="L403" s="94"/>
      <c r="M403" s="94"/>
      <c r="N403" s="94"/>
      <c r="O403" s="94"/>
      <c r="P403" s="94"/>
      <c r="Q403" s="94"/>
      <c r="R403" s="94"/>
      <c r="S403" s="94"/>
      <c r="T403" s="94"/>
      <c r="U403" s="94"/>
      <c r="V403" s="94"/>
      <c r="W403" s="94"/>
      <c r="X403" s="94"/>
      <c r="Y403" s="38"/>
    </row>
    <row r="404" spans="1:25" ht="15.75" customHeight="1">
      <c r="A404" s="94"/>
      <c r="B404" s="94"/>
      <c r="C404" s="94"/>
      <c r="D404" s="94"/>
      <c r="E404" s="179"/>
      <c r="F404" s="94"/>
      <c r="G404" s="94"/>
      <c r="H404" s="94"/>
      <c r="I404" s="94"/>
      <c r="J404" s="94"/>
      <c r="K404" s="94"/>
      <c r="L404" s="94"/>
      <c r="M404" s="94"/>
      <c r="N404" s="94"/>
      <c r="O404" s="94"/>
      <c r="P404" s="94"/>
      <c r="Q404" s="94"/>
      <c r="R404" s="94"/>
      <c r="S404" s="94"/>
      <c r="T404" s="94"/>
      <c r="U404" s="94"/>
      <c r="V404" s="94"/>
      <c r="W404" s="94"/>
      <c r="X404" s="94"/>
      <c r="Y404" s="38"/>
    </row>
    <row r="405" spans="1:25" ht="15.75" customHeight="1">
      <c r="A405" s="94"/>
      <c r="B405" s="94"/>
      <c r="C405" s="94"/>
      <c r="D405" s="94"/>
      <c r="E405" s="179"/>
      <c r="F405" s="94"/>
      <c r="G405" s="94"/>
      <c r="H405" s="94"/>
      <c r="I405" s="94"/>
      <c r="J405" s="94"/>
      <c r="K405" s="94"/>
      <c r="L405" s="94"/>
      <c r="M405" s="94"/>
      <c r="N405" s="94"/>
      <c r="O405" s="94"/>
      <c r="P405" s="94"/>
      <c r="Q405" s="94"/>
      <c r="R405" s="94"/>
      <c r="S405" s="94"/>
      <c r="T405" s="94"/>
      <c r="U405" s="94"/>
      <c r="V405" s="94"/>
      <c r="W405" s="94"/>
      <c r="X405" s="94"/>
      <c r="Y405" s="38"/>
    </row>
    <row r="406" spans="1:25" ht="15.75" customHeight="1">
      <c r="A406" s="94"/>
      <c r="B406" s="94"/>
      <c r="C406" s="94"/>
      <c r="D406" s="94"/>
      <c r="E406" s="179"/>
      <c r="F406" s="94"/>
      <c r="G406" s="94"/>
      <c r="H406" s="94"/>
      <c r="I406" s="94"/>
      <c r="J406" s="94"/>
      <c r="K406" s="94"/>
      <c r="L406" s="94"/>
      <c r="M406" s="94"/>
      <c r="N406" s="94"/>
      <c r="O406" s="94"/>
      <c r="P406" s="94"/>
      <c r="Q406" s="94"/>
      <c r="R406" s="94"/>
      <c r="S406" s="94"/>
      <c r="T406" s="94"/>
      <c r="U406" s="94"/>
      <c r="V406" s="94"/>
      <c r="W406" s="94"/>
      <c r="X406" s="94"/>
      <c r="Y406" s="38"/>
    </row>
    <row r="407" spans="1:25" ht="15.75" customHeight="1">
      <c r="A407" s="94"/>
      <c r="B407" s="94"/>
      <c r="C407" s="94"/>
      <c r="D407" s="94"/>
      <c r="E407" s="179"/>
      <c r="F407" s="94"/>
      <c r="G407" s="94"/>
      <c r="H407" s="94"/>
      <c r="I407" s="94"/>
      <c r="J407" s="94"/>
      <c r="K407" s="94"/>
      <c r="L407" s="94"/>
      <c r="M407" s="94"/>
      <c r="N407" s="94"/>
      <c r="O407" s="94"/>
      <c r="P407" s="94"/>
      <c r="Q407" s="94"/>
      <c r="R407" s="94"/>
      <c r="S407" s="94"/>
      <c r="T407" s="94"/>
      <c r="U407" s="94"/>
      <c r="V407" s="94"/>
      <c r="W407" s="94"/>
      <c r="X407" s="94"/>
      <c r="Y407" s="38"/>
    </row>
    <row r="408" spans="1:25" ht="15.75" customHeight="1">
      <c r="A408" s="94"/>
      <c r="B408" s="94"/>
      <c r="C408" s="94"/>
      <c r="D408" s="94"/>
      <c r="E408" s="179"/>
      <c r="F408" s="94"/>
      <c r="G408" s="94"/>
      <c r="H408" s="94"/>
      <c r="I408" s="94"/>
      <c r="J408" s="94"/>
      <c r="K408" s="94"/>
      <c r="L408" s="94"/>
      <c r="M408" s="94"/>
      <c r="N408" s="94"/>
      <c r="O408" s="94"/>
      <c r="P408" s="94"/>
      <c r="Q408" s="94"/>
      <c r="R408" s="94"/>
      <c r="S408" s="94"/>
      <c r="T408" s="94"/>
      <c r="U408" s="94"/>
      <c r="V408" s="94"/>
      <c r="W408" s="94"/>
      <c r="X408" s="94"/>
      <c r="Y408" s="38"/>
    </row>
    <row r="409" spans="1:25" ht="15.75" customHeight="1">
      <c r="A409" s="94"/>
      <c r="B409" s="94"/>
      <c r="C409" s="94"/>
      <c r="D409" s="94"/>
      <c r="E409" s="179"/>
      <c r="F409" s="94"/>
      <c r="G409" s="94"/>
      <c r="H409" s="94"/>
      <c r="I409" s="94"/>
      <c r="J409" s="94"/>
      <c r="K409" s="94"/>
      <c r="L409" s="94"/>
      <c r="M409" s="94"/>
      <c r="N409" s="94"/>
      <c r="O409" s="94"/>
      <c r="P409" s="94"/>
      <c r="Q409" s="94"/>
      <c r="R409" s="94"/>
      <c r="S409" s="94"/>
      <c r="T409" s="94"/>
      <c r="U409" s="94"/>
      <c r="V409" s="94"/>
      <c r="W409" s="94"/>
      <c r="X409" s="94"/>
      <c r="Y409" s="38"/>
    </row>
    <row r="410" spans="1:25" ht="15.75" customHeight="1">
      <c r="A410" s="94"/>
      <c r="B410" s="94"/>
      <c r="C410" s="94"/>
      <c r="D410" s="94"/>
      <c r="E410" s="179"/>
      <c r="F410" s="94"/>
      <c r="G410" s="94"/>
      <c r="H410" s="94"/>
      <c r="I410" s="94"/>
      <c r="J410" s="94"/>
      <c r="K410" s="94"/>
      <c r="L410" s="94"/>
      <c r="M410" s="94"/>
      <c r="N410" s="94"/>
      <c r="O410" s="94"/>
      <c r="P410" s="94"/>
      <c r="Q410" s="94"/>
      <c r="R410" s="94"/>
      <c r="S410" s="94"/>
      <c r="T410" s="94"/>
      <c r="U410" s="94"/>
      <c r="V410" s="94"/>
      <c r="W410" s="94"/>
      <c r="X410" s="94"/>
      <c r="Y410" s="38"/>
    </row>
    <row r="411" spans="1:25" ht="15.75" customHeight="1">
      <c r="A411" s="94"/>
      <c r="B411" s="94"/>
      <c r="C411" s="94"/>
      <c r="D411" s="94"/>
      <c r="E411" s="179"/>
      <c r="F411" s="94"/>
      <c r="G411" s="94"/>
      <c r="H411" s="94"/>
      <c r="I411" s="94"/>
      <c r="J411" s="94"/>
      <c r="K411" s="94"/>
      <c r="L411" s="94"/>
      <c r="M411" s="94"/>
      <c r="N411" s="94"/>
      <c r="O411" s="94"/>
      <c r="P411" s="94"/>
      <c r="Q411" s="94"/>
      <c r="R411" s="94"/>
      <c r="S411" s="94"/>
      <c r="T411" s="94"/>
      <c r="U411" s="94"/>
      <c r="V411" s="94"/>
      <c r="W411" s="94"/>
      <c r="X411" s="94"/>
      <c r="Y411" s="38"/>
    </row>
    <row r="412" spans="1:25" ht="15.75" customHeight="1">
      <c r="A412" s="94"/>
      <c r="B412" s="94"/>
      <c r="C412" s="94"/>
      <c r="D412" s="94"/>
      <c r="E412" s="179"/>
      <c r="F412" s="94"/>
      <c r="G412" s="94"/>
      <c r="H412" s="94"/>
      <c r="I412" s="94"/>
      <c r="J412" s="94"/>
      <c r="K412" s="94"/>
      <c r="L412" s="94"/>
      <c r="M412" s="94"/>
      <c r="N412" s="94"/>
      <c r="O412" s="94"/>
      <c r="P412" s="94"/>
      <c r="Q412" s="94"/>
      <c r="R412" s="94"/>
      <c r="S412" s="94"/>
      <c r="T412" s="94"/>
      <c r="U412" s="94"/>
      <c r="V412" s="94"/>
      <c r="W412" s="94"/>
      <c r="X412" s="94"/>
      <c r="Y412" s="38"/>
    </row>
    <row r="413" spans="1:25" ht="15.75" customHeight="1">
      <c r="A413" s="94"/>
      <c r="B413" s="94"/>
      <c r="C413" s="94"/>
      <c r="D413" s="94"/>
      <c r="E413" s="179"/>
      <c r="F413" s="94"/>
      <c r="G413" s="94"/>
      <c r="H413" s="94"/>
      <c r="I413" s="94"/>
      <c r="J413" s="94"/>
      <c r="K413" s="94"/>
      <c r="L413" s="94"/>
      <c r="M413" s="94"/>
      <c r="N413" s="94"/>
      <c r="O413" s="94"/>
      <c r="P413" s="94"/>
      <c r="Q413" s="94"/>
      <c r="R413" s="94"/>
      <c r="S413" s="94"/>
      <c r="T413" s="94"/>
      <c r="U413" s="94"/>
      <c r="V413" s="94"/>
      <c r="W413" s="94"/>
      <c r="X413" s="94"/>
      <c r="Y413" s="38"/>
    </row>
    <row r="414" spans="1:25" ht="15.75" customHeight="1">
      <c r="A414" s="94"/>
      <c r="B414" s="94"/>
      <c r="C414" s="94"/>
      <c r="D414" s="94"/>
      <c r="E414" s="179"/>
      <c r="F414" s="94"/>
      <c r="G414" s="94"/>
      <c r="H414" s="94"/>
      <c r="I414" s="94"/>
      <c r="J414" s="94"/>
      <c r="K414" s="94"/>
      <c r="L414" s="94"/>
      <c r="M414" s="94"/>
      <c r="N414" s="94"/>
      <c r="O414" s="94"/>
      <c r="P414" s="94"/>
      <c r="Q414" s="94"/>
      <c r="R414" s="94"/>
      <c r="S414" s="94"/>
      <c r="T414" s="94"/>
      <c r="U414" s="94"/>
      <c r="V414" s="94"/>
      <c r="W414" s="94"/>
      <c r="X414" s="94"/>
      <c r="Y414" s="38"/>
    </row>
    <row r="415" spans="1:25" ht="15.75" customHeight="1">
      <c r="A415" s="94"/>
      <c r="B415" s="94"/>
      <c r="C415" s="94"/>
      <c r="D415" s="94"/>
      <c r="E415" s="179"/>
      <c r="F415" s="94"/>
      <c r="G415" s="94"/>
      <c r="H415" s="94"/>
      <c r="I415" s="94"/>
      <c r="J415" s="94"/>
      <c r="K415" s="94"/>
      <c r="L415" s="94"/>
      <c r="M415" s="94"/>
      <c r="N415" s="94"/>
      <c r="O415" s="94"/>
      <c r="P415" s="94"/>
      <c r="Q415" s="94"/>
      <c r="R415" s="94"/>
      <c r="S415" s="94"/>
      <c r="T415" s="94"/>
      <c r="U415" s="94"/>
      <c r="V415" s="94"/>
      <c r="W415" s="94"/>
      <c r="X415" s="94"/>
      <c r="Y415" s="38"/>
    </row>
    <row r="416" spans="1:25" ht="15.75" customHeight="1">
      <c r="A416" s="94"/>
      <c r="B416" s="94"/>
      <c r="C416" s="94"/>
      <c r="D416" s="94"/>
      <c r="E416" s="179"/>
      <c r="F416" s="94"/>
      <c r="G416" s="94"/>
      <c r="H416" s="94"/>
      <c r="I416" s="94"/>
      <c r="J416" s="94"/>
      <c r="K416" s="94"/>
      <c r="L416" s="94"/>
      <c r="M416" s="94"/>
      <c r="N416" s="94"/>
      <c r="O416" s="94"/>
      <c r="P416" s="94"/>
      <c r="Q416" s="94"/>
      <c r="R416" s="94"/>
      <c r="S416" s="94"/>
      <c r="T416" s="94"/>
      <c r="U416" s="94"/>
      <c r="V416" s="94"/>
      <c r="W416" s="94"/>
      <c r="X416" s="94"/>
      <c r="Y416" s="38"/>
    </row>
    <row r="417" spans="1:25" ht="15.75" customHeight="1">
      <c r="A417" s="94"/>
      <c r="B417" s="94"/>
      <c r="C417" s="94"/>
      <c r="D417" s="94"/>
      <c r="E417" s="179"/>
      <c r="F417" s="94"/>
      <c r="G417" s="94"/>
      <c r="H417" s="94"/>
      <c r="I417" s="94"/>
      <c r="J417" s="94"/>
      <c r="K417" s="94"/>
      <c r="L417" s="94"/>
      <c r="M417" s="94"/>
      <c r="N417" s="94"/>
      <c r="O417" s="94"/>
      <c r="P417" s="94"/>
      <c r="Q417" s="94"/>
      <c r="R417" s="94"/>
      <c r="S417" s="94"/>
      <c r="T417" s="94"/>
      <c r="U417" s="94"/>
      <c r="V417" s="94"/>
      <c r="W417" s="94"/>
      <c r="X417" s="94"/>
      <c r="Y417" s="38"/>
    </row>
    <row r="418" spans="1:25" ht="15.75" customHeight="1">
      <c r="A418" s="94"/>
      <c r="B418" s="94"/>
      <c r="C418" s="94"/>
      <c r="D418" s="94"/>
      <c r="E418" s="179"/>
      <c r="F418" s="94"/>
      <c r="G418" s="94"/>
      <c r="H418" s="94"/>
      <c r="I418" s="94"/>
      <c r="J418" s="94"/>
      <c r="K418" s="94"/>
      <c r="L418" s="94"/>
      <c r="M418" s="94"/>
      <c r="N418" s="94"/>
      <c r="O418" s="94"/>
      <c r="P418" s="94"/>
      <c r="Q418" s="94"/>
      <c r="R418" s="94"/>
      <c r="S418" s="94"/>
      <c r="T418" s="94"/>
      <c r="U418" s="94"/>
      <c r="V418" s="94"/>
      <c r="W418" s="94"/>
      <c r="X418" s="94"/>
      <c r="Y418" s="38"/>
    </row>
    <row r="419" spans="1:25" ht="15.75" customHeight="1">
      <c r="A419" s="94"/>
      <c r="B419" s="94"/>
      <c r="C419" s="94"/>
      <c r="D419" s="94"/>
      <c r="E419" s="179"/>
      <c r="F419" s="94"/>
      <c r="G419" s="94"/>
      <c r="H419" s="94"/>
      <c r="I419" s="94"/>
      <c r="J419" s="94"/>
      <c r="K419" s="94"/>
      <c r="L419" s="94"/>
      <c r="M419" s="94"/>
      <c r="N419" s="94"/>
      <c r="O419" s="94"/>
      <c r="P419" s="94"/>
      <c r="Q419" s="94"/>
      <c r="R419" s="94"/>
      <c r="S419" s="94"/>
      <c r="T419" s="94"/>
      <c r="U419" s="94"/>
      <c r="V419" s="94"/>
      <c r="W419" s="94"/>
      <c r="X419" s="94"/>
      <c r="Y419" s="38"/>
    </row>
    <row r="420" spans="1:25" ht="15.75" customHeight="1">
      <c r="A420" s="94"/>
      <c r="B420" s="94"/>
      <c r="C420" s="94"/>
      <c r="D420" s="94"/>
      <c r="E420" s="179"/>
      <c r="F420" s="94"/>
      <c r="G420" s="94"/>
      <c r="H420" s="94"/>
      <c r="I420" s="94"/>
      <c r="J420" s="94"/>
      <c r="K420" s="94"/>
      <c r="L420" s="94"/>
      <c r="M420" s="94"/>
      <c r="N420" s="94"/>
      <c r="O420" s="94"/>
      <c r="P420" s="94"/>
      <c r="Q420" s="94"/>
      <c r="R420" s="94"/>
      <c r="S420" s="94"/>
      <c r="T420" s="94"/>
      <c r="U420" s="94"/>
      <c r="V420" s="94"/>
      <c r="W420" s="94"/>
      <c r="X420" s="94"/>
      <c r="Y420" s="38"/>
    </row>
    <row r="421" spans="1:25" ht="15.75" customHeight="1">
      <c r="A421" s="94"/>
      <c r="B421" s="94"/>
      <c r="C421" s="94"/>
      <c r="D421" s="94"/>
      <c r="E421" s="179"/>
      <c r="F421" s="94"/>
      <c r="G421" s="94"/>
      <c r="H421" s="94"/>
      <c r="I421" s="94"/>
      <c r="J421" s="94"/>
      <c r="K421" s="94"/>
      <c r="L421" s="94"/>
      <c r="M421" s="94"/>
      <c r="N421" s="94"/>
      <c r="O421" s="94"/>
      <c r="P421" s="94"/>
      <c r="Q421" s="94"/>
      <c r="R421" s="94"/>
      <c r="S421" s="94"/>
      <c r="T421" s="94"/>
      <c r="U421" s="94"/>
      <c r="V421" s="94"/>
      <c r="W421" s="94"/>
      <c r="X421" s="94"/>
      <c r="Y421" s="38"/>
    </row>
    <row r="422" spans="1:25" ht="15.75" customHeight="1">
      <c r="A422" s="94"/>
      <c r="B422" s="94"/>
      <c r="C422" s="94"/>
      <c r="D422" s="94"/>
      <c r="E422" s="179"/>
      <c r="F422" s="94"/>
      <c r="G422" s="94"/>
      <c r="H422" s="94"/>
      <c r="I422" s="94"/>
      <c r="J422" s="94"/>
      <c r="K422" s="94"/>
      <c r="L422" s="94"/>
      <c r="M422" s="94"/>
      <c r="N422" s="94"/>
      <c r="O422" s="94"/>
      <c r="P422" s="94"/>
      <c r="Q422" s="94"/>
      <c r="R422" s="94"/>
      <c r="S422" s="94"/>
      <c r="T422" s="94"/>
      <c r="U422" s="94"/>
      <c r="V422" s="94"/>
      <c r="W422" s="94"/>
      <c r="X422" s="94"/>
      <c r="Y422" s="38"/>
    </row>
    <row r="423" spans="1:25" ht="15.75" customHeight="1">
      <c r="A423" s="94"/>
      <c r="B423" s="94"/>
      <c r="C423" s="94"/>
      <c r="D423" s="94"/>
      <c r="E423" s="179"/>
      <c r="F423" s="94"/>
      <c r="G423" s="94"/>
      <c r="H423" s="94"/>
      <c r="I423" s="94"/>
      <c r="J423" s="94"/>
      <c r="K423" s="94"/>
      <c r="L423" s="94"/>
      <c r="M423" s="94"/>
      <c r="N423" s="94"/>
      <c r="O423" s="94"/>
      <c r="P423" s="94"/>
      <c r="Q423" s="94"/>
      <c r="R423" s="94"/>
      <c r="S423" s="94"/>
      <c r="T423" s="94"/>
      <c r="U423" s="94"/>
      <c r="V423" s="94"/>
      <c r="W423" s="94"/>
      <c r="X423" s="94"/>
      <c r="Y423" s="38"/>
    </row>
    <row r="424" spans="1:25" ht="15.75" customHeight="1">
      <c r="A424" s="94"/>
      <c r="B424" s="94"/>
      <c r="C424" s="94"/>
      <c r="D424" s="94"/>
      <c r="E424" s="179"/>
      <c r="F424" s="94"/>
      <c r="G424" s="94"/>
      <c r="H424" s="94"/>
      <c r="I424" s="94"/>
      <c r="J424" s="94"/>
      <c r="K424" s="94"/>
      <c r="L424" s="94"/>
      <c r="M424" s="94"/>
      <c r="N424" s="94"/>
      <c r="O424" s="94"/>
      <c r="P424" s="94"/>
      <c r="Q424" s="94"/>
      <c r="R424" s="94"/>
      <c r="S424" s="94"/>
      <c r="T424" s="94"/>
      <c r="U424" s="94"/>
      <c r="V424" s="94"/>
      <c r="W424" s="94"/>
      <c r="X424" s="94"/>
      <c r="Y424" s="38"/>
    </row>
    <row r="425" spans="1:25" ht="15.75" customHeight="1">
      <c r="A425" s="94"/>
      <c r="B425" s="94"/>
      <c r="C425" s="94"/>
      <c r="D425" s="94"/>
      <c r="E425" s="179"/>
      <c r="F425" s="94"/>
      <c r="G425" s="94"/>
      <c r="H425" s="94"/>
      <c r="I425" s="94"/>
      <c r="J425" s="94"/>
      <c r="K425" s="94"/>
      <c r="L425" s="94"/>
      <c r="M425" s="94"/>
      <c r="N425" s="94"/>
      <c r="O425" s="94"/>
      <c r="P425" s="94"/>
      <c r="Q425" s="94"/>
      <c r="R425" s="94"/>
      <c r="S425" s="94"/>
      <c r="T425" s="94"/>
      <c r="U425" s="94"/>
      <c r="V425" s="94"/>
      <c r="W425" s="94"/>
      <c r="X425" s="94"/>
      <c r="Y425" s="38"/>
    </row>
    <row r="426" spans="1:25" ht="15.75" customHeight="1">
      <c r="A426" s="94"/>
      <c r="B426" s="94"/>
      <c r="C426" s="94"/>
      <c r="D426" s="94"/>
      <c r="E426" s="179"/>
      <c r="F426" s="94"/>
      <c r="G426" s="94"/>
      <c r="H426" s="94"/>
      <c r="I426" s="94"/>
      <c r="J426" s="94"/>
      <c r="K426" s="94"/>
      <c r="L426" s="94"/>
      <c r="M426" s="94"/>
      <c r="N426" s="94"/>
      <c r="O426" s="94"/>
      <c r="P426" s="94"/>
      <c r="Q426" s="94"/>
      <c r="R426" s="94"/>
      <c r="S426" s="94"/>
      <c r="T426" s="94"/>
      <c r="U426" s="94"/>
      <c r="V426" s="94"/>
      <c r="W426" s="94"/>
      <c r="X426" s="94"/>
      <c r="Y426" s="38"/>
    </row>
    <row r="427" spans="1:25" ht="15.75" customHeight="1">
      <c r="A427" s="94"/>
      <c r="B427" s="94"/>
      <c r="C427" s="94"/>
      <c r="D427" s="94"/>
      <c r="E427" s="179"/>
      <c r="F427" s="94"/>
      <c r="G427" s="94"/>
      <c r="H427" s="94"/>
      <c r="I427" s="94"/>
      <c r="J427" s="94"/>
      <c r="K427" s="94"/>
      <c r="L427" s="94"/>
      <c r="M427" s="94"/>
      <c r="N427" s="94"/>
      <c r="O427" s="94"/>
      <c r="P427" s="94"/>
      <c r="Q427" s="94"/>
      <c r="R427" s="94"/>
      <c r="S427" s="94"/>
      <c r="T427" s="94"/>
      <c r="U427" s="94"/>
      <c r="V427" s="94"/>
      <c r="W427" s="94"/>
      <c r="X427" s="94"/>
      <c r="Y427" s="38"/>
    </row>
    <row r="428" spans="1:25" ht="15.75" customHeight="1">
      <c r="A428" s="94"/>
      <c r="B428" s="94"/>
      <c r="C428" s="94"/>
      <c r="D428" s="94"/>
      <c r="E428" s="179"/>
      <c r="F428" s="94"/>
      <c r="G428" s="94"/>
      <c r="H428" s="94"/>
      <c r="I428" s="94"/>
      <c r="J428" s="94"/>
      <c r="K428" s="94"/>
      <c r="L428" s="94"/>
      <c r="M428" s="94"/>
      <c r="N428" s="94"/>
      <c r="O428" s="94"/>
      <c r="P428" s="94"/>
      <c r="Q428" s="94"/>
      <c r="R428" s="94"/>
      <c r="S428" s="94"/>
      <c r="T428" s="94"/>
      <c r="U428" s="94"/>
      <c r="V428" s="94"/>
      <c r="W428" s="94"/>
      <c r="X428" s="94"/>
      <c r="Y428" s="38"/>
    </row>
    <row r="429" spans="1:25" ht="15.75" customHeight="1">
      <c r="A429" s="94"/>
      <c r="B429" s="94"/>
      <c r="C429" s="94"/>
      <c r="D429" s="94"/>
      <c r="E429" s="179"/>
      <c r="F429" s="94"/>
      <c r="G429" s="94"/>
      <c r="H429" s="94"/>
      <c r="I429" s="94"/>
      <c r="J429" s="94"/>
      <c r="K429" s="94"/>
      <c r="L429" s="94"/>
      <c r="M429" s="94"/>
      <c r="N429" s="94"/>
      <c r="O429" s="94"/>
      <c r="P429" s="94"/>
      <c r="Q429" s="94"/>
      <c r="R429" s="94"/>
      <c r="S429" s="94"/>
      <c r="T429" s="94"/>
      <c r="U429" s="94"/>
      <c r="V429" s="94"/>
      <c r="W429" s="94"/>
      <c r="X429" s="94"/>
      <c r="Y429" s="38"/>
    </row>
    <row r="430" spans="1:25" ht="15.75" customHeight="1">
      <c r="A430" s="94"/>
      <c r="B430" s="94"/>
      <c r="C430" s="94"/>
      <c r="D430" s="94"/>
      <c r="E430" s="179"/>
      <c r="F430" s="94"/>
      <c r="G430" s="94"/>
      <c r="H430" s="94"/>
      <c r="I430" s="94"/>
      <c r="J430" s="94"/>
      <c r="K430" s="94"/>
      <c r="L430" s="94"/>
      <c r="M430" s="94"/>
      <c r="N430" s="94"/>
      <c r="O430" s="94"/>
      <c r="P430" s="94"/>
      <c r="Q430" s="94"/>
      <c r="R430" s="94"/>
      <c r="S430" s="94"/>
      <c r="T430" s="94"/>
      <c r="U430" s="94"/>
      <c r="V430" s="94"/>
      <c r="W430" s="94"/>
      <c r="X430" s="94"/>
      <c r="Y430" s="38"/>
    </row>
    <row r="431" spans="1:25" ht="15.75" customHeight="1">
      <c r="A431" s="94"/>
      <c r="B431" s="94"/>
      <c r="C431" s="94"/>
      <c r="D431" s="94"/>
      <c r="E431" s="179"/>
      <c r="F431" s="94"/>
      <c r="G431" s="94"/>
      <c r="H431" s="94"/>
      <c r="I431" s="94"/>
      <c r="J431" s="94"/>
      <c r="K431" s="94"/>
      <c r="L431" s="94"/>
      <c r="M431" s="94"/>
      <c r="N431" s="94"/>
      <c r="O431" s="94"/>
      <c r="P431" s="94"/>
      <c r="Q431" s="94"/>
      <c r="R431" s="94"/>
      <c r="S431" s="94"/>
      <c r="T431" s="94"/>
      <c r="U431" s="94"/>
      <c r="V431" s="94"/>
      <c r="W431" s="94"/>
      <c r="X431" s="94"/>
      <c r="Y431" s="38"/>
    </row>
    <row r="432" spans="1:25" ht="15.75" customHeight="1">
      <c r="A432" s="94"/>
      <c r="B432" s="94"/>
      <c r="C432" s="94"/>
      <c r="D432" s="94"/>
      <c r="E432" s="179"/>
      <c r="F432" s="94"/>
      <c r="G432" s="94"/>
      <c r="H432" s="94"/>
      <c r="I432" s="94"/>
      <c r="J432" s="94"/>
      <c r="K432" s="94"/>
      <c r="L432" s="94"/>
      <c r="M432" s="94"/>
      <c r="N432" s="94"/>
      <c r="O432" s="94"/>
      <c r="P432" s="94"/>
      <c r="Q432" s="94"/>
      <c r="R432" s="94"/>
      <c r="S432" s="94"/>
      <c r="T432" s="94"/>
      <c r="U432" s="94"/>
      <c r="V432" s="94"/>
      <c r="W432" s="94"/>
      <c r="X432" s="94"/>
      <c r="Y432" s="38"/>
    </row>
    <row r="433" spans="1:25" ht="15.75" customHeight="1">
      <c r="A433" s="94"/>
      <c r="B433" s="94"/>
      <c r="C433" s="94"/>
      <c r="D433" s="94"/>
      <c r="E433" s="179"/>
      <c r="F433" s="94"/>
      <c r="G433" s="94"/>
      <c r="H433" s="94"/>
      <c r="I433" s="94"/>
      <c r="J433" s="94"/>
      <c r="K433" s="94"/>
      <c r="L433" s="94"/>
      <c r="M433" s="94"/>
      <c r="N433" s="94"/>
      <c r="O433" s="94"/>
      <c r="P433" s="94"/>
      <c r="Q433" s="94"/>
      <c r="R433" s="94"/>
      <c r="S433" s="94"/>
      <c r="T433" s="94"/>
      <c r="U433" s="94"/>
      <c r="V433" s="94"/>
      <c r="W433" s="94"/>
      <c r="X433" s="94"/>
      <c r="Y433" s="38"/>
    </row>
    <row r="434" spans="1:25" ht="15.75" customHeight="1">
      <c r="A434" s="94"/>
      <c r="B434" s="94"/>
      <c r="C434" s="94"/>
      <c r="D434" s="94"/>
      <c r="E434" s="179"/>
      <c r="F434" s="94"/>
      <c r="G434" s="94"/>
      <c r="H434" s="94"/>
      <c r="I434" s="94"/>
      <c r="J434" s="94"/>
      <c r="K434" s="94"/>
      <c r="L434" s="94"/>
      <c r="M434" s="94"/>
      <c r="N434" s="94"/>
      <c r="O434" s="94"/>
      <c r="P434" s="94"/>
      <c r="Q434" s="94"/>
      <c r="R434" s="94"/>
      <c r="S434" s="94"/>
      <c r="T434" s="94"/>
      <c r="U434" s="94"/>
      <c r="V434" s="94"/>
      <c r="W434" s="94"/>
      <c r="X434" s="94"/>
      <c r="Y434" s="38"/>
    </row>
    <row r="435" spans="1:25" ht="15.75" customHeight="1">
      <c r="A435" s="94"/>
      <c r="B435" s="94"/>
      <c r="C435" s="94"/>
      <c r="D435" s="94"/>
      <c r="E435" s="179"/>
      <c r="F435" s="94"/>
      <c r="G435" s="94"/>
      <c r="H435" s="94"/>
      <c r="I435" s="94"/>
      <c r="J435" s="94"/>
      <c r="K435" s="94"/>
      <c r="L435" s="94"/>
      <c r="M435" s="94"/>
      <c r="N435" s="94"/>
      <c r="O435" s="94"/>
      <c r="P435" s="94"/>
      <c r="Q435" s="94"/>
      <c r="R435" s="94"/>
      <c r="S435" s="94"/>
      <c r="T435" s="94"/>
      <c r="U435" s="94"/>
      <c r="V435" s="94"/>
      <c r="W435" s="94"/>
      <c r="X435" s="94"/>
      <c r="Y435" s="38"/>
    </row>
    <row r="436" spans="1:25" ht="15.75" customHeight="1">
      <c r="A436" s="94"/>
      <c r="B436" s="94"/>
      <c r="C436" s="94"/>
      <c r="D436" s="94"/>
      <c r="E436" s="179"/>
      <c r="F436" s="94"/>
      <c r="G436" s="94"/>
      <c r="H436" s="94"/>
      <c r="I436" s="94"/>
      <c r="J436" s="94"/>
      <c r="K436" s="94"/>
      <c r="L436" s="94"/>
      <c r="M436" s="94"/>
      <c r="N436" s="94"/>
      <c r="O436" s="94"/>
      <c r="P436" s="94"/>
      <c r="Q436" s="94"/>
      <c r="R436" s="94"/>
      <c r="S436" s="94"/>
      <c r="T436" s="94"/>
      <c r="U436" s="94"/>
      <c r="V436" s="94"/>
      <c r="W436" s="94"/>
      <c r="X436" s="94"/>
      <c r="Y436" s="38"/>
    </row>
    <row r="437" spans="1:25" ht="15.75" customHeight="1">
      <c r="A437" s="94"/>
      <c r="B437" s="94"/>
      <c r="C437" s="94"/>
      <c r="D437" s="94"/>
      <c r="E437" s="179"/>
      <c r="F437" s="94"/>
      <c r="G437" s="94"/>
      <c r="H437" s="94"/>
      <c r="I437" s="94"/>
      <c r="J437" s="94"/>
      <c r="K437" s="94"/>
      <c r="L437" s="94"/>
      <c r="M437" s="94"/>
      <c r="N437" s="94"/>
      <c r="O437" s="94"/>
      <c r="P437" s="94"/>
      <c r="Q437" s="94"/>
      <c r="R437" s="94"/>
      <c r="S437" s="94"/>
      <c r="T437" s="94"/>
      <c r="U437" s="94"/>
      <c r="V437" s="94"/>
      <c r="W437" s="94"/>
      <c r="X437" s="94"/>
      <c r="Y437" s="38"/>
    </row>
    <row r="438" spans="1:25" ht="15.75" customHeight="1">
      <c r="A438" s="94"/>
      <c r="B438" s="94"/>
      <c r="C438" s="94"/>
      <c r="D438" s="94"/>
      <c r="E438" s="179"/>
      <c r="F438" s="94"/>
      <c r="G438" s="94"/>
      <c r="H438" s="94"/>
      <c r="I438" s="94"/>
      <c r="J438" s="94"/>
      <c r="K438" s="94"/>
      <c r="L438" s="94"/>
      <c r="M438" s="94"/>
      <c r="N438" s="94"/>
      <c r="O438" s="94"/>
      <c r="P438" s="94"/>
      <c r="Q438" s="94"/>
      <c r="R438" s="94"/>
      <c r="S438" s="94"/>
      <c r="T438" s="94"/>
      <c r="U438" s="94"/>
      <c r="V438" s="94"/>
      <c r="W438" s="94"/>
      <c r="X438" s="94"/>
      <c r="Y438" s="38"/>
    </row>
    <row r="439" spans="1:25" ht="15.75" customHeight="1">
      <c r="A439" s="94"/>
      <c r="B439" s="94"/>
      <c r="C439" s="94"/>
      <c r="D439" s="94"/>
      <c r="E439" s="179"/>
      <c r="F439" s="94"/>
      <c r="G439" s="94"/>
      <c r="H439" s="94"/>
      <c r="I439" s="94"/>
      <c r="J439" s="94"/>
      <c r="K439" s="94"/>
      <c r="L439" s="94"/>
      <c r="M439" s="94"/>
      <c r="N439" s="94"/>
      <c r="O439" s="94"/>
      <c r="P439" s="94"/>
      <c r="Q439" s="94"/>
      <c r="R439" s="94"/>
      <c r="S439" s="94"/>
      <c r="T439" s="94"/>
      <c r="U439" s="94"/>
      <c r="V439" s="94"/>
      <c r="W439" s="94"/>
      <c r="X439" s="94"/>
      <c r="Y439" s="38"/>
    </row>
    <row r="440" spans="1:25" ht="15.75" customHeight="1">
      <c r="A440" s="94"/>
      <c r="B440" s="94"/>
      <c r="C440" s="94"/>
      <c r="D440" s="94"/>
      <c r="E440" s="179"/>
      <c r="F440" s="94"/>
      <c r="G440" s="94"/>
      <c r="H440" s="94"/>
      <c r="I440" s="94"/>
      <c r="J440" s="94"/>
      <c r="K440" s="94"/>
      <c r="L440" s="94"/>
      <c r="M440" s="94"/>
      <c r="N440" s="94"/>
      <c r="O440" s="94"/>
      <c r="P440" s="94"/>
      <c r="Q440" s="94"/>
      <c r="R440" s="94"/>
      <c r="S440" s="94"/>
      <c r="T440" s="94"/>
      <c r="U440" s="94"/>
      <c r="V440" s="94"/>
      <c r="W440" s="94"/>
      <c r="X440" s="94"/>
      <c r="Y440" s="38"/>
    </row>
    <row r="441" spans="1:25" ht="15.75" customHeight="1">
      <c r="A441" s="94"/>
      <c r="B441" s="94"/>
      <c r="C441" s="94"/>
      <c r="D441" s="94"/>
      <c r="E441" s="179"/>
      <c r="F441" s="94"/>
      <c r="G441" s="94"/>
      <c r="H441" s="94"/>
      <c r="I441" s="94"/>
      <c r="J441" s="94"/>
      <c r="K441" s="94"/>
      <c r="L441" s="94"/>
      <c r="M441" s="94"/>
      <c r="N441" s="94"/>
      <c r="O441" s="94"/>
      <c r="P441" s="94"/>
      <c r="Q441" s="94"/>
      <c r="R441" s="94"/>
      <c r="S441" s="94"/>
      <c r="T441" s="94"/>
      <c r="U441" s="94"/>
      <c r="V441" s="94"/>
      <c r="W441" s="94"/>
      <c r="X441" s="94"/>
      <c r="Y441" s="38"/>
    </row>
    <row r="442" spans="1:25" ht="15.75" customHeight="1">
      <c r="A442" s="94"/>
      <c r="B442" s="94"/>
      <c r="C442" s="94"/>
      <c r="D442" s="94"/>
      <c r="E442" s="179"/>
      <c r="F442" s="94"/>
      <c r="G442" s="94"/>
      <c r="H442" s="94"/>
      <c r="I442" s="94"/>
      <c r="J442" s="94"/>
      <c r="K442" s="94"/>
      <c r="L442" s="94"/>
      <c r="M442" s="94"/>
      <c r="N442" s="94"/>
      <c r="O442" s="94"/>
      <c r="P442" s="94"/>
      <c r="Q442" s="94"/>
      <c r="R442" s="94"/>
      <c r="S442" s="94"/>
      <c r="T442" s="94"/>
      <c r="U442" s="94"/>
      <c r="V442" s="94"/>
      <c r="W442" s="94"/>
      <c r="X442" s="94"/>
      <c r="Y442" s="38"/>
    </row>
    <row r="443" spans="1:25" ht="15.75" customHeight="1">
      <c r="A443" s="94"/>
      <c r="B443" s="94"/>
      <c r="C443" s="94"/>
      <c r="D443" s="94"/>
      <c r="E443" s="179"/>
      <c r="F443" s="94"/>
      <c r="G443" s="94"/>
      <c r="H443" s="94"/>
      <c r="I443" s="94"/>
      <c r="J443" s="94"/>
      <c r="K443" s="94"/>
      <c r="L443" s="94"/>
      <c r="M443" s="94"/>
      <c r="N443" s="94"/>
      <c r="O443" s="94"/>
      <c r="P443" s="94"/>
      <c r="Q443" s="94"/>
      <c r="R443" s="94"/>
      <c r="S443" s="94"/>
      <c r="T443" s="94"/>
      <c r="U443" s="94"/>
      <c r="V443" s="94"/>
      <c r="W443" s="94"/>
      <c r="X443" s="94"/>
      <c r="Y443" s="38"/>
    </row>
    <row r="444" spans="1:25" ht="15.75" customHeight="1">
      <c r="A444" s="94"/>
      <c r="B444" s="94"/>
      <c r="C444" s="94"/>
      <c r="D444" s="94"/>
      <c r="E444" s="179"/>
      <c r="F444" s="94"/>
      <c r="G444" s="94"/>
      <c r="H444" s="94"/>
      <c r="I444" s="94"/>
      <c r="J444" s="94"/>
      <c r="K444" s="94"/>
      <c r="L444" s="94"/>
      <c r="M444" s="94"/>
      <c r="N444" s="94"/>
      <c r="O444" s="94"/>
      <c r="P444" s="94"/>
      <c r="Q444" s="94"/>
      <c r="R444" s="94"/>
      <c r="S444" s="94"/>
      <c r="T444" s="94"/>
      <c r="U444" s="94"/>
      <c r="V444" s="94"/>
      <c r="W444" s="94"/>
      <c r="X444" s="94"/>
      <c r="Y444" s="38"/>
    </row>
    <row r="445" spans="1:25" ht="15.75" customHeight="1">
      <c r="A445" s="94"/>
      <c r="B445" s="94"/>
      <c r="C445" s="94"/>
      <c r="D445" s="94"/>
      <c r="E445" s="179"/>
      <c r="F445" s="94"/>
      <c r="G445" s="94"/>
      <c r="H445" s="94"/>
      <c r="I445" s="94"/>
      <c r="J445" s="94"/>
      <c r="K445" s="94"/>
      <c r="L445" s="94"/>
      <c r="M445" s="94"/>
      <c r="N445" s="94"/>
      <c r="O445" s="94"/>
      <c r="P445" s="94"/>
      <c r="Q445" s="94"/>
      <c r="R445" s="94"/>
      <c r="S445" s="94"/>
      <c r="T445" s="94"/>
      <c r="U445" s="94"/>
      <c r="V445" s="94"/>
      <c r="W445" s="94"/>
      <c r="X445" s="94"/>
      <c r="Y445" s="38"/>
    </row>
    <row r="446" spans="1:25" ht="15.75" customHeight="1">
      <c r="A446" s="94"/>
      <c r="B446" s="94"/>
      <c r="C446" s="94"/>
      <c r="D446" s="94"/>
      <c r="E446" s="179"/>
      <c r="F446" s="94"/>
      <c r="G446" s="94"/>
      <c r="H446" s="94"/>
      <c r="I446" s="94"/>
      <c r="J446" s="94"/>
      <c r="K446" s="94"/>
      <c r="L446" s="94"/>
      <c r="M446" s="94"/>
      <c r="N446" s="94"/>
      <c r="O446" s="94"/>
      <c r="P446" s="94"/>
      <c r="Q446" s="94"/>
      <c r="R446" s="94"/>
      <c r="S446" s="94"/>
      <c r="T446" s="94"/>
      <c r="U446" s="94"/>
      <c r="V446" s="94"/>
      <c r="W446" s="94"/>
      <c r="X446" s="94"/>
      <c r="Y446" s="38"/>
    </row>
    <row r="447" spans="1:25" ht="15.75" customHeight="1">
      <c r="A447" s="94"/>
      <c r="B447" s="94"/>
      <c r="C447" s="94"/>
      <c r="D447" s="94"/>
      <c r="E447" s="179"/>
      <c r="F447" s="94"/>
      <c r="G447" s="94"/>
      <c r="H447" s="94"/>
      <c r="I447" s="94"/>
      <c r="J447" s="94"/>
      <c r="K447" s="94"/>
      <c r="L447" s="94"/>
      <c r="M447" s="94"/>
      <c r="N447" s="94"/>
      <c r="O447" s="94"/>
      <c r="P447" s="94"/>
      <c r="Q447" s="94"/>
      <c r="R447" s="94"/>
      <c r="S447" s="94"/>
      <c r="T447" s="94"/>
      <c r="U447" s="94"/>
      <c r="V447" s="94"/>
      <c r="W447" s="94"/>
      <c r="X447" s="94"/>
      <c r="Y447" s="38"/>
    </row>
    <row r="448" spans="1:25" ht="15.75" customHeight="1">
      <c r="A448" s="94"/>
      <c r="B448" s="94"/>
      <c r="C448" s="94"/>
      <c r="D448" s="94"/>
      <c r="E448" s="179"/>
      <c r="F448" s="94"/>
      <c r="G448" s="94"/>
      <c r="H448" s="94"/>
      <c r="I448" s="94"/>
      <c r="J448" s="94"/>
      <c r="K448" s="94"/>
      <c r="L448" s="94"/>
      <c r="M448" s="94"/>
      <c r="N448" s="94"/>
      <c r="O448" s="94"/>
      <c r="P448" s="94"/>
      <c r="Q448" s="94"/>
      <c r="R448" s="94"/>
      <c r="S448" s="94"/>
      <c r="T448" s="94"/>
      <c r="U448" s="94"/>
      <c r="V448" s="94"/>
      <c r="W448" s="94"/>
      <c r="X448" s="94"/>
      <c r="Y448" s="38"/>
    </row>
    <row r="449" spans="1:25" ht="15.75" customHeight="1">
      <c r="A449" s="94"/>
      <c r="B449" s="94"/>
      <c r="C449" s="94"/>
      <c r="D449" s="94"/>
      <c r="E449" s="179"/>
      <c r="F449" s="94"/>
      <c r="G449" s="94"/>
      <c r="H449" s="94"/>
      <c r="I449" s="94"/>
      <c r="J449" s="94"/>
      <c r="K449" s="94"/>
      <c r="L449" s="94"/>
      <c r="M449" s="94"/>
      <c r="N449" s="94"/>
      <c r="O449" s="94"/>
      <c r="P449" s="94"/>
      <c r="Q449" s="94"/>
      <c r="R449" s="94"/>
      <c r="S449" s="94"/>
      <c r="T449" s="94"/>
      <c r="U449" s="94"/>
      <c r="V449" s="94"/>
      <c r="W449" s="94"/>
      <c r="X449" s="94"/>
      <c r="Y449" s="38"/>
    </row>
    <row r="450" spans="1:25" ht="15.75" customHeight="1">
      <c r="A450" s="94"/>
      <c r="B450" s="94"/>
      <c r="C450" s="94"/>
      <c r="D450" s="94"/>
      <c r="E450" s="179"/>
      <c r="F450" s="94"/>
      <c r="G450" s="94"/>
      <c r="H450" s="94"/>
      <c r="I450" s="94"/>
      <c r="J450" s="94"/>
      <c r="K450" s="94"/>
      <c r="L450" s="94"/>
      <c r="M450" s="94"/>
      <c r="N450" s="94"/>
      <c r="O450" s="94"/>
      <c r="P450" s="94"/>
      <c r="Q450" s="94"/>
      <c r="R450" s="94"/>
      <c r="S450" s="94"/>
      <c r="T450" s="94"/>
      <c r="U450" s="94"/>
      <c r="V450" s="94"/>
      <c r="W450" s="94"/>
      <c r="X450" s="94"/>
      <c r="Y450" s="38"/>
    </row>
    <row r="451" spans="1:25" ht="15.75" customHeight="1">
      <c r="A451" s="94"/>
      <c r="B451" s="94"/>
      <c r="C451" s="94"/>
      <c r="D451" s="94"/>
      <c r="E451" s="179"/>
      <c r="F451" s="94"/>
      <c r="G451" s="94"/>
      <c r="H451" s="94"/>
      <c r="I451" s="94"/>
      <c r="J451" s="94"/>
      <c r="K451" s="94"/>
      <c r="L451" s="94"/>
      <c r="M451" s="94"/>
      <c r="N451" s="94"/>
      <c r="O451" s="94"/>
      <c r="P451" s="94"/>
      <c r="Q451" s="94"/>
      <c r="R451" s="94"/>
      <c r="S451" s="94"/>
      <c r="T451" s="94"/>
      <c r="U451" s="94"/>
      <c r="V451" s="94"/>
      <c r="W451" s="94"/>
      <c r="X451" s="94"/>
      <c r="Y451" s="38"/>
    </row>
    <row r="452" spans="1:25" ht="15.75" customHeight="1">
      <c r="A452" s="94"/>
      <c r="B452" s="94"/>
      <c r="C452" s="94"/>
      <c r="D452" s="94"/>
      <c r="E452" s="179"/>
      <c r="F452" s="94"/>
      <c r="G452" s="94"/>
      <c r="H452" s="94"/>
      <c r="I452" s="94"/>
      <c r="J452" s="94"/>
      <c r="K452" s="94"/>
      <c r="L452" s="94"/>
      <c r="M452" s="94"/>
      <c r="N452" s="94"/>
      <c r="O452" s="94"/>
      <c r="P452" s="94"/>
      <c r="Q452" s="94"/>
      <c r="R452" s="94"/>
      <c r="S452" s="94"/>
      <c r="T452" s="94"/>
      <c r="U452" s="94"/>
      <c r="V452" s="94"/>
      <c r="W452" s="94"/>
      <c r="X452" s="94"/>
      <c r="Y452" s="38"/>
    </row>
    <row r="453" spans="1:25" ht="15.75" customHeight="1">
      <c r="A453" s="94"/>
      <c r="B453" s="94"/>
      <c r="C453" s="94"/>
      <c r="D453" s="94"/>
      <c r="E453" s="179"/>
      <c r="F453" s="94"/>
      <c r="G453" s="94"/>
      <c r="H453" s="94"/>
      <c r="I453" s="94"/>
      <c r="J453" s="94"/>
      <c r="K453" s="94"/>
      <c r="L453" s="94"/>
      <c r="M453" s="94"/>
      <c r="N453" s="94"/>
      <c r="O453" s="94"/>
      <c r="P453" s="94"/>
      <c r="Q453" s="94"/>
      <c r="R453" s="94"/>
      <c r="S453" s="94"/>
      <c r="T453" s="94"/>
      <c r="U453" s="94"/>
      <c r="V453" s="94"/>
      <c r="W453" s="94"/>
      <c r="X453" s="94"/>
      <c r="Y453" s="38"/>
    </row>
    <row r="454" spans="1:25" ht="15.75" customHeight="1">
      <c r="A454" s="94"/>
      <c r="B454" s="94"/>
      <c r="C454" s="94"/>
      <c r="D454" s="94"/>
      <c r="E454" s="179"/>
      <c r="F454" s="94"/>
      <c r="G454" s="94"/>
      <c r="H454" s="94"/>
      <c r="I454" s="94"/>
      <c r="J454" s="94"/>
      <c r="K454" s="94"/>
      <c r="L454" s="94"/>
      <c r="M454" s="94"/>
      <c r="N454" s="94"/>
      <c r="O454" s="94"/>
      <c r="P454" s="94"/>
      <c r="Q454" s="94"/>
      <c r="R454" s="94"/>
      <c r="S454" s="94"/>
      <c r="T454" s="94"/>
      <c r="U454" s="94"/>
      <c r="V454" s="94"/>
      <c r="W454" s="94"/>
      <c r="X454" s="94"/>
      <c r="Y454" s="38"/>
    </row>
    <row r="455" spans="1:25" ht="15.75" customHeight="1">
      <c r="A455" s="94"/>
      <c r="B455" s="94"/>
      <c r="C455" s="94"/>
      <c r="D455" s="94"/>
      <c r="E455" s="179"/>
      <c r="F455" s="94"/>
      <c r="G455" s="94"/>
      <c r="H455" s="94"/>
      <c r="I455" s="94"/>
      <c r="J455" s="94"/>
      <c r="K455" s="94"/>
      <c r="L455" s="94"/>
      <c r="M455" s="94"/>
      <c r="N455" s="94"/>
      <c r="O455" s="94"/>
      <c r="P455" s="94"/>
      <c r="Q455" s="94"/>
      <c r="R455" s="94"/>
      <c r="S455" s="94"/>
      <c r="T455" s="94"/>
      <c r="U455" s="94"/>
      <c r="V455" s="94"/>
      <c r="W455" s="94"/>
      <c r="X455" s="94"/>
      <c r="Y455" s="38"/>
    </row>
    <row r="456" spans="1:25" ht="15.75" customHeight="1">
      <c r="A456" s="94"/>
      <c r="B456" s="94"/>
      <c r="C456" s="94"/>
      <c r="D456" s="94"/>
      <c r="E456" s="179"/>
      <c r="F456" s="94"/>
      <c r="G456" s="94"/>
      <c r="H456" s="94"/>
      <c r="I456" s="94"/>
      <c r="J456" s="94"/>
      <c r="K456" s="94"/>
      <c r="L456" s="94"/>
      <c r="M456" s="94"/>
      <c r="N456" s="94"/>
      <c r="O456" s="94"/>
      <c r="P456" s="94"/>
      <c r="Q456" s="94"/>
      <c r="R456" s="94"/>
      <c r="S456" s="94"/>
      <c r="T456" s="94"/>
      <c r="U456" s="94"/>
      <c r="V456" s="94"/>
      <c r="W456" s="94"/>
      <c r="X456" s="94"/>
      <c r="Y456" s="38"/>
    </row>
    <row r="457" spans="1:25" ht="15.75" customHeight="1">
      <c r="A457" s="94"/>
      <c r="B457" s="94"/>
      <c r="C457" s="94"/>
      <c r="D457" s="94"/>
      <c r="E457" s="179"/>
      <c r="F457" s="94"/>
      <c r="G457" s="94"/>
      <c r="H457" s="94"/>
      <c r="I457" s="94"/>
      <c r="J457" s="94"/>
      <c r="K457" s="94"/>
      <c r="L457" s="94"/>
      <c r="M457" s="94"/>
      <c r="N457" s="94"/>
      <c r="O457" s="94"/>
      <c r="P457" s="94"/>
      <c r="Q457" s="94"/>
      <c r="R457" s="94"/>
      <c r="S457" s="94"/>
      <c r="T457" s="94"/>
      <c r="U457" s="94"/>
      <c r="V457" s="94"/>
      <c r="W457" s="94"/>
      <c r="X457" s="94"/>
      <c r="Y457" s="38"/>
    </row>
    <row r="458" spans="1:25" ht="15.75" customHeight="1">
      <c r="A458" s="94"/>
      <c r="B458" s="94"/>
      <c r="C458" s="94"/>
      <c r="D458" s="94"/>
      <c r="E458" s="179"/>
      <c r="F458" s="94"/>
      <c r="G458" s="94"/>
      <c r="H458" s="94"/>
      <c r="I458" s="94"/>
      <c r="J458" s="94"/>
      <c r="K458" s="94"/>
      <c r="L458" s="94"/>
      <c r="M458" s="94"/>
      <c r="N458" s="94"/>
      <c r="O458" s="94"/>
      <c r="P458" s="94"/>
      <c r="Q458" s="94"/>
      <c r="R458" s="94"/>
      <c r="S458" s="94"/>
      <c r="T458" s="94"/>
      <c r="U458" s="94"/>
      <c r="V458" s="94"/>
      <c r="W458" s="94"/>
      <c r="X458" s="94"/>
      <c r="Y458" s="38"/>
    </row>
    <row r="459" spans="1:25" ht="15.75" customHeight="1">
      <c r="A459" s="94"/>
      <c r="B459" s="94"/>
      <c r="C459" s="94"/>
      <c r="D459" s="94"/>
      <c r="E459" s="179"/>
      <c r="F459" s="94"/>
      <c r="G459" s="94"/>
      <c r="H459" s="94"/>
      <c r="I459" s="94"/>
      <c r="J459" s="94"/>
      <c r="K459" s="94"/>
      <c r="L459" s="94"/>
      <c r="M459" s="94"/>
      <c r="N459" s="94"/>
      <c r="O459" s="94"/>
      <c r="P459" s="94"/>
      <c r="Q459" s="94"/>
      <c r="R459" s="94"/>
      <c r="S459" s="94"/>
      <c r="T459" s="94"/>
      <c r="U459" s="94"/>
      <c r="V459" s="94"/>
      <c r="W459" s="94"/>
      <c r="X459" s="94"/>
      <c r="Y459" s="38"/>
    </row>
    <row r="460" spans="1:25" ht="15.75" customHeight="1">
      <c r="A460" s="94"/>
      <c r="B460" s="94"/>
      <c r="C460" s="94"/>
      <c r="D460" s="94"/>
      <c r="E460" s="179"/>
      <c r="F460" s="94"/>
      <c r="G460" s="94"/>
      <c r="H460" s="94"/>
      <c r="I460" s="94"/>
      <c r="J460" s="94"/>
      <c r="K460" s="94"/>
      <c r="L460" s="94"/>
      <c r="M460" s="94"/>
      <c r="N460" s="94"/>
      <c r="O460" s="94"/>
      <c r="P460" s="94"/>
      <c r="Q460" s="94"/>
      <c r="R460" s="94"/>
      <c r="S460" s="94"/>
      <c r="T460" s="94"/>
      <c r="U460" s="94"/>
      <c r="V460" s="94"/>
      <c r="W460" s="94"/>
      <c r="X460" s="94"/>
      <c r="Y460" s="38"/>
    </row>
    <row r="461" spans="1:25" ht="15.75" customHeight="1">
      <c r="A461" s="94"/>
      <c r="B461" s="94"/>
      <c r="C461" s="94"/>
      <c r="D461" s="94"/>
      <c r="E461" s="179"/>
      <c r="F461" s="94"/>
      <c r="G461" s="94"/>
      <c r="H461" s="94"/>
      <c r="I461" s="94"/>
      <c r="J461" s="94"/>
      <c r="K461" s="94"/>
      <c r="L461" s="94"/>
      <c r="M461" s="94"/>
      <c r="N461" s="94"/>
      <c r="O461" s="94"/>
      <c r="P461" s="94"/>
      <c r="Q461" s="94"/>
      <c r="R461" s="94"/>
      <c r="S461" s="94"/>
      <c r="T461" s="94"/>
      <c r="U461" s="94"/>
      <c r="V461" s="94"/>
      <c r="W461" s="94"/>
      <c r="X461" s="94"/>
      <c r="Y461" s="38"/>
    </row>
    <row r="462" spans="1:25" ht="15.75" customHeight="1">
      <c r="A462" s="94"/>
      <c r="B462" s="94"/>
      <c r="C462" s="94"/>
      <c r="D462" s="94"/>
      <c r="E462" s="179"/>
      <c r="F462" s="94"/>
      <c r="G462" s="94"/>
      <c r="H462" s="94"/>
      <c r="I462" s="94"/>
      <c r="J462" s="94"/>
      <c r="K462" s="94"/>
      <c r="L462" s="94"/>
      <c r="M462" s="94"/>
      <c r="N462" s="94"/>
      <c r="O462" s="94"/>
      <c r="P462" s="94"/>
      <c r="Q462" s="94"/>
      <c r="R462" s="94"/>
      <c r="S462" s="94"/>
      <c r="T462" s="94"/>
      <c r="U462" s="94"/>
      <c r="V462" s="94"/>
      <c r="W462" s="94"/>
      <c r="X462" s="94"/>
      <c r="Y462" s="38"/>
    </row>
    <row r="463" spans="1:25" ht="15.75" customHeight="1">
      <c r="A463" s="94"/>
      <c r="B463" s="94"/>
      <c r="C463" s="94"/>
      <c r="D463" s="94"/>
      <c r="E463" s="179"/>
      <c r="F463" s="94"/>
      <c r="G463" s="94"/>
      <c r="H463" s="94"/>
      <c r="I463" s="94"/>
      <c r="J463" s="94"/>
      <c r="K463" s="94"/>
      <c r="L463" s="94"/>
      <c r="M463" s="94"/>
      <c r="N463" s="94"/>
      <c r="O463" s="94"/>
      <c r="P463" s="94"/>
      <c r="Q463" s="94"/>
      <c r="R463" s="94"/>
      <c r="S463" s="94"/>
      <c r="T463" s="94"/>
      <c r="U463" s="94"/>
      <c r="V463" s="94"/>
      <c r="W463" s="94"/>
      <c r="X463" s="94"/>
      <c r="Y463" s="38"/>
    </row>
    <row r="464" spans="1:25" ht="15.75" customHeight="1">
      <c r="A464" s="94"/>
      <c r="B464" s="94"/>
      <c r="C464" s="94"/>
      <c r="D464" s="94"/>
      <c r="E464" s="179"/>
      <c r="F464" s="94"/>
      <c r="G464" s="94"/>
      <c r="H464" s="94"/>
      <c r="I464" s="94"/>
      <c r="J464" s="94"/>
      <c r="K464" s="94"/>
      <c r="L464" s="94"/>
      <c r="M464" s="94"/>
      <c r="N464" s="94"/>
      <c r="O464" s="94"/>
      <c r="P464" s="94"/>
      <c r="Q464" s="94"/>
      <c r="R464" s="94"/>
      <c r="S464" s="94"/>
      <c r="T464" s="94"/>
      <c r="U464" s="94"/>
      <c r="V464" s="94"/>
      <c r="W464" s="94"/>
      <c r="X464" s="94"/>
      <c r="Y464" s="38"/>
    </row>
    <row r="465" spans="1:25" ht="15.75" customHeight="1">
      <c r="A465" s="94"/>
      <c r="B465" s="94"/>
      <c r="C465" s="94"/>
      <c r="D465" s="94"/>
      <c r="E465" s="179"/>
      <c r="F465" s="94"/>
      <c r="G465" s="94"/>
      <c r="H465" s="94"/>
      <c r="I465" s="94"/>
      <c r="J465" s="94"/>
      <c r="K465" s="94"/>
      <c r="L465" s="94"/>
      <c r="M465" s="94"/>
      <c r="N465" s="94"/>
      <c r="O465" s="94"/>
      <c r="P465" s="94"/>
      <c r="Q465" s="94"/>
      <c r="R465" s="94"/>
      <c r="S465" s="94"/>
      <c r="T465" s="94"/>
      <c r="U465" s="94"/>
      <c r="V465" s="94"/>
      <c r="W465" s="94"/>
      <c r="X465" s="94"/>
      <c r="Y465" s="38"/>
    </row>
    <row r="466" spans="1:25" ht="15.75" customHeight="1">
      <c r="A466" s="94"/>
      <c r="B466" s="94"/>
      <c r="C466" s="94"/>
      <c r="D466" s="94"/>
      <c r="E466" s="179"/>
      <c r="F466" s="94"/>
      <c r="G466" s="94"/>
      <c r="H466" s="94"/>
      <c r="I466" s="94"/>
      <c r="J466" s="94"/>
      <c r="K466" s="94"/>
      <c r="L466" s="94"/>
      <c r="M466" s="94"/>
      <c r="N466" s="94"/>
      <c r="O466" s="94"/>
      <c r="P466" s="94"/>
      <c r="Q466" s="94"/>
      <c r="R466" s="94"/>
      <c r="S466" s="94"/>
      <c r="T466" s="94"/>
      <c r="U466" s="94"/>
      <c r="V466" s="94"/>
      <c r="W466" s="94"/>
      <c r="X466" s="94"/>
      <c r="Y466" s="38"/>
    </row>
    <row r="467" spans="1:25" ht="15.75" customHeight="1">
      <c r="A467" s="94"/>
      <c r="B467" s="94"/>
      <c r="C467" s="94"/>
      <c r="D467" s="94"/>
      <c r="E467" s="179"/>
      <c r="F467" s="94"/>
      <c r="G467" s="94"/>
      <c r="H467" s="94"/>
      <c r="I467" s="94"/>
      <c r="J467" s="94"/>
      <c r="K467" s="94"/>
      <c r="L467" s="94"/>
      <c r="M467" s="94"/>
      <c r="N467" s="94"/>
      <c r="O467" s="94"/>
      <c r="P467" s="94"/>
      <c r="Q467" s="94"/>
      <c r="R467" s="94"/>
      <c r="S467" s="94"/>
      <c r="T467" s="94"/>
      <c r="U467" s="94"/>
      <c r="V467" s="94"/>
      <c r="W467" s="94"/>
      <c r="X467" s="94"/>
      <c r="Y467" s="38"/>
    </row>
    <row r="468" spans="1:25" ht="15.75" customHeight="1">
      <c r="A468" s="94"/>
      <c r="B468" s="94"/>
      <c r="C468" s="94"/>
      <c r="D468" s="94"/>
      <c r="E468" s="179"/>
      <c r="F468" s="94"/>
      <c r="G468" s="94"/>
      <c r="H468" s="94"/>
      <c r="I468" s="94"/>
      <c r="J468" s="94"/>
      <c r="K468" s="94"/>
      <c r="L468" s="94"/>
      <c r="M468" s="94"/>
      <c r="N468" s="94"/>
      <c r="O468" s="94"/>
      <c r="P468" s="94"/>
      <c r="Q468" s="94"/>
      <c r="R468" s="94"/>
      <c r="S468" s="94"/>
      <c r="T468" s="94"/>
      <c r="U468" s="94"/>
      <c r="V468" s="94"/>
      <c r="W468" s="94"/>
      <c r="X468" s="94"/>
      <c r="Y468" s="38"/>
    </row>
    <row r="469" spans="1:25" ht="15.75" customHeight="1">
      <c r="A469" s="94"/>
      <c r="B469" s="94"/>
      <c r="C469" s="94"/>
      <c r="D469" s="94"/>
      <c r="E469" s="179"/>
      <c r="F469" s="94"/>
      <c r="G469" s="94"/>
      <c r="H469" s="94"/>
      <c r="I469" s="94"/>
      <c r="J469" s="94"/>
      <c r="K469" s="94"/>
      <c r="L469" s="94"/>
      <c r="M469" s="94"/>
      <c r="N469" s="94"/>
      <c r="O469" s="94"/>
      <c r="P469" s="94"/>
      <c r="Q469" s="94"/>
      <c r="R469" s="94"/>
      <c r="S469" s="94"/>
      <c r="T469" s="94"/>
      <c r="U469" s="94"/>
      <c r="V469" s="94"/>
      <c r="W469" s="94"/>
      <c r="X469" s="94"/>
      <c r="Y469" s="38"/>
    </row>
    <row r="470" spans="1:25" ht="15.75" customHeight="1">
      <c r="A470" s="94"/>
      <c r="B470" s="94"/>
      <c r="C470" s="94"/>
      <c r="D470" s="94"/>
      <c r="E470" s="179"/>
      <c r="F470" s="94"/>
      <c r="G470" s="94"/>
      <c r="H470" s="94"/>
      <c r="I470" s="94"/>
      <c r="J470" s="94"/>
      <c r="K470" s="94"/>
      <c r="L470" s="94"/>
      <c r="M470" s="94"/>
      <c r="N470" s="94"/>
      <c r="O470" s="94"/>
      <c r="P470" s="94"/>
      <c r="Q470" s="94"/>
      <c r="R470" s="94"/>
      <c r="S470" s="94"/>
      <c r="T470" s="94"/>
      <c r="U470" s="94"/>
      <c r="V470" s="94"/>
      <c r="W470" s="94"/>
      <c r="X470" s="94"/>
      <c r="Y470" s="38"/>
    </row>
    <row r="471" spans="1:25" ht="15.75" customHeight="1">
      <c r="A471" s="94"/>
      <c r="B471" s="94"/>
      <c r="C471" s="94"/>
      <c r="D471" s="94"/>
      <c r="E471" s="179"/>
      <c r="F471" s="94"/>
      <c r="G471" s="94"/>
      <c r="H471" s="94"/>
      <c r="I471" s="94"/>
      <c r="J471" s="94"/>
      <c r="K471" s="94"/>
      <c r="L471" s="94"/>
      <c r="M471" s="94"/>
      <c r="N471" s="94"/>
      <c r="O471" s="94"/>
      <c r="P471" s="94"/>
      <c r="Q471" s="94"/>
      <c r="R471" s="94"/>
      <c r="S471" s="94"/>
      <c r="T471" s="94"/>
      <c r="U471" s="94"/>
      <c r="V471" s="94"/>
      <c r="W471" s="94"/>
      <c r="X471" s="94"/>
      <c r="Y471" s="38"/>
    </row>
    <row r="472" spans="1:25" ht="15.75" customHeight="1">
      <c r="A472" s="94"/>
      <c r="B472" s="94"/>
      <c r="C472" s="94"/>
      <c r="D472" s="94"/>
      <c r="E472" s="179"/>
      <c r="F472" s="94"/>
      <c r="G472" s="94"/>
      <c r="H472" s="94"/>
      <c r="I472" s="94"/>
      <c r="J472" s="94"/>
      <c r="K472" s="94"/>
      <c r="L472" s="94"/>
      <c r="M472" s="94"/>
      <c r="N472" s="94"/>
      <c r="O472" s="94"/>
      <c r="P472" s="94"/>
      <c r="Q472" s="94"/>
      <c r="R472" s="94"/>
      <c r="S472" s="94"/>
      <c r="T472" s="94"/>
      <c r="U472" s="94"/>
      <c r="V472" s="94"/>
      <c r="W472" s="94"/>
      <c r="X472" s="94"/>
      <c r="Y472" s="38"/>
    </row>
    <row r="473" spans="1:25" ht="15.75" customHeight="1">
      <c r="A473" s="94"/>
      <c r="B473" s="94"/>
      <c r="C473" s="94"/>
      <c r="D473" s="94"/>
      <c r="E473" s="179"/>
      <c r="F473" s="94"/>
      <c r="G473" s="94"/>
      <c r="H473" s="94"/>
      <c r="I473" s="94"/>
      <c r="J473" s="94"/>
      <c r="K473" s="94"/>
      <c r="L473" s="94"/>
      <c r="M473" s="94"/>
      <c r="N473" s="94"/>
      <c r="O473" s="94"/>
      <c r="P473" s="94"/>
      <c r="Q473" s="94"/>
      <c r="R473" s="94"/>
      <c r="S473" s="94"/>
      <c r="T473" s="94"/>
      <c r="U473" s="94"/>
      <c r="V473" s="94"/>
      <c r="W473" s="94"/>
      <c r="X473" s="94"/>
      <c r="Y473" s="38"/>
    </row>
    <row r="474" spans="1:25" ht="15.75" customHeight="1">
      <c r="A474" s="94"/>
      <c r="B474" s="94"/>
      <c r="C474" s="94"/>
      <c r="D474" s="94"/>
      <c r="E474" s="179"/>
      <c r="F474" s="94"/>
      <c r="G474" s="94"/>
      <c r="H474" s="94"/>
      <c r="I474" s="94"/>
      <c r="J474" s="94"/>
      <c r="K474" s="94"/>
      <c r="L474" s="94"/>
      <c r="M474" s="94"/>
      <c r="N474" s="94"/>
      <c r="O474" s="94"/>
      <c r="P474" s="94"/>
      <c r="Q474" s="94"/>
      <c r="R474" s="94"/>
      <c r="S474" s="94"/>
      <c r="T474" s="94"/>
      <c r="U474" s="94"/>
      <c r="V474" s="94"/>
      <c r="W474" s="94"/>
      <c r="X474" s="94"/>
      <c r="Y474" s="38"/>
    </row>
    <row r="475" spans="1:25" ht="15.75" customHeight="1">
      <c r="A475" s="94"/>
      <c r="B475" s="94"/>
      <c r="C475" s="94"/>
      <c r="D475" s="94"/>
      <c r="E475" s="179"/>
      <c r="F475" s="94"/>
      <c r="G475" s="94"/>
      <c r="H475" s="94"/>
      <c r="I475" s="94"/>
      <c r="J475" s="94"/>
      <c r="K475" s="94"/>
      <c r="L475" s="94"/>
      <c r="M475" s="94"/>
      <c r="N475" s="94"/>
      <c r="O475" s="94"/>
      <c r="P475" s="94"/>
      <c r="Q475" s="94"/>
      <c r="R475" s="94"/>
      <c r="S475" s="94"/>
      <c r="T475" s="94"/>
      <c r="U475" s="94"/>
      <c r="V475" s="94"/>
      <c r="W475" s="94"/>
      <c r="X475" s="94"/>
      <c r="Y475" s="38"/>
    </row>
    <row r="476" spans="1:25" ht="15.75" customHeight="1">
      <c r="A476" s="94"/>
      <c r="B476" s="94"/>
      <c r="C476" s="94"/>
      <c r="D476" s="94"/>
      <c r="E476" s="179"/>
      <c r="F476" s="94"/>
      <c r="G476" s="94"/>
      <c r="H476" s="94"/>
      <c r="I476" s="94"/>
      <c r="J476" s="94"/>
      <c r="K476" s="94"/>
      <c r="L476" s="94"/>
      <c r="M476" s="94"/>
      <c r="N476" s="94"/>
      <c r="O476" s="94"/>
      <c r="P476" s="94"/>
      <c r="Q476" s="94"/>
      <c r="R476" s="94"/>
      <c r="S476" s="94"/>
      <c r="T476" s="94"/>
      <c r="U476" s="94"/>
      <c r="V476" s="94"/>
      <c r="W476" s="94"/>
      <c r="X476" s="94"/>
      <c r="Y476" s="38"/>
    </row>
    <row r="477" spans="1:25" ht="15.75" customHeight="1">
      <c r="A477" s="94"/>
      <c r="B477" s="94"/>
      <c r="C477" s="94"/>
      <c r="D477" s="94"/>
      <c r="E477" s="179"/>
      <c r="F477" s="94"/>
      <c r="G477" s="94"/>
      <c r="H477" s="94"/>
      <c r="I477" s="94"/>
      <c r="J477" s="94"/>
      <c r="K477" s="94"/>
      <c r="L477" s="94"/>
      <c r="M477" s="94"/>
      <c r="N477" s="94"/>
      <c r="O477" s="94"/>
      <c r="P477" s="94"/>
      <c r="Q477" s="94"/>
      <c r="R477" s="94"/>
      <c r="S477" s="94"/>
      <c r="T477" s="94"/>
      <c r="U477" s="94"/>
      <c r="V477" s="94"/>
      <c r="W477" s="94"/>
      <c r="X477" s="94"/>
      <c r="Y477" s="38"/>
    </row>
    <row r="478" spans="1:25" ht="15.75" customHeight="1">
      <c r="A478" s="94"/>
      <c r="B478" s="94"/>
      <c r="C478" s="94"/>
      <c r="D478" s="94"/>
      <c r="E478" s="179"/>
      <c r="F478" s="94"/>
      <c r="G478" s="94"/>
      <c r="H478" s="94"/>
      <c r="I478" s="94"/>
      <c r="J478" s="94"/>
      <c r="K478" s="94"/>
      <c r="L478" s="94"/>
      <c r="M478" s="94"/>
      <c r="N478" s="94"/>
      <c r="O478" s="94"/>
      <c r="P478" s="94"/>
      <c r="Q478" s="94"/>
      <c r="R478" s="94"/>
      <c r="S478" s="94"/>
      <c r="T478" s="94"/>
      <c r="U478" s="94"/>
      <c r="V478" s="94"/>
      <c r="W478" s="94"/>
      <c r="X478" s="94"/>
      <c r="Y478" s="38"/>
    </row>
    <row r="479" spans="1:25" ht="15.75" customHeight="1">
      <c r="A479" s="94"/>
      <c r="B479" s="94"/>
      <c r="C479" s="94"/>
      <c r="D479" s="94"/>
      <c r="E479" s="179"/>
      <c r="F479" s="94"/>
      <c r="G479" s="94"/>
      <c r="H479" s="94"/>
      <c r="I479" s="94"/>
      <c r="J479" s="94"/>
      <c r="K479" s="94"/>
      <c r="L479" s="94"/>
      <c r="M479" s="94"/>
      <c r="N479" s="94"/>
      <c r="O479" s="94"/>
      <c r="P479" s="94"/>
      <c r="Q479" s="94"/>
      <c r="R479" s="94"/>
      <c r="S479" s="94"/>
      <c r="T479" s="94"/>
      <c r="U479" s="94"/>
      <c r="V479" s="94"/>
      <c r="W479" s="94"/>
      <c r="X479" s="94"/>
      <c r="Y479" s="38"/>
    </row>
    <row r="480" spans="1:25" ht="15.75" customHeight="1">
      <c r="A480" s="94"/>
      <c r="B480" s="94"/>
      <c r="C480" s="94"/>
      <c r="D480" s="94"/>
      <c r="E480" s="179"/>
      <c r="F480" s="94"/>
      <c r="G480" s="94"/>
      <c r="H480" s="94"/>
      <c r="I480" s="94"/>
      <c r="J480" s="94"/>
      <c r="K480" s="94"/>
      <c r="L480" s="94"/>
      <c r="M480" s="94"/>
      <c r="N480" s="94"/>
      <c r="O480" s="94"/>
      <c r="P480" s="94"/>
      <c r="Q480" s="94"/>
      <c r="R480" s="94"/>
      <c r="S480" s="94"/>
      <c r="T480" s="94"/>
      <c r="U480" s="94"/>
      <c r="V480" s="94"/>
      <c r="W480" s="94"/>
      <c r="X480" s="94"/>
      <c r="Y480" s="38"/>
    </row>
    <row r="481" spans="1:25" ht="15.75" customHeight="1">
      <c r="A481" s="94"/>
      <c r="B481" s="94"/>
      <c r="C481" s="94"/>
      <c r="D481" s="94"/>
      <c r="E481" s="179"/>
      <c r="F481" s="94"/>
      <c r="G481" s="94"/>
      <c r="H481" s="94"/>
      <c r="I481" s="94"/>
      <c r="J481" s="94"/>
      <c r="K481" s="94"/>
      <c r="L481" s="94"/>
      <c r="M481" s="94"/>
      <c r="N481" s="94"/>
      <c r="O481" s="94"/>
      <c r="P481" s="94"/>
      <c r="Q481" s="94"/>
      <c r="R481" s="94"/>
      <c r="S481" s="94"/>
      <c r="T481" s="94"/>
      <c r="U481" s="94"/>
      <c r="V481" s="94"/>
      <c r="W481" s="94"/>
      <c r="X481" s="94"/>
      <c r="Y481" s="38"/>
    </row>
    <row r="482" spans="1:25" ht="15.75" customHeight="1">
      <c r="A482" s="94"/>
      <c r="B482" s="94"/>
      <c r="C482" s="94"/>
      <c r="D482" s="94"/>
      <c r="E482" s="179"/>
      <c r="F482" s="94"/>
      <c r="G482" s="94"/>
      <c r="H482" s="94"/>
      <c r="I482" s="94"/>
      <c r="J482" s="94"/>
      <c r="K482" s="94"/>
      <c r="L482" s="94"/>
      <c r="M482" s="94"/>
      <c r="N482" s="94"/>
      <c r="O482" s="94"/>
      <c r="P482" s="94"/>
      <c r="Q482" s="94"/>
      <c r="R482" s="94"/>
      <c r="S482" s="94"/>
      <c r="T482" s="94"/>
      <c r="U482" s="94"/>
      <c r="V482" s="94"/>
      <c r="W482" s="94"/>
      <c r="X482" s="94"/>
      <c r="Y482" s="38"/>
    </row>
    <row r="483" spans="1:25" ht="15.75" customHeight="1">
      <c r="A483" s="94"/>
      <c r="B483" s="94"/>
      <c r="C483" s="94"/>
      <c r="D483" s="94"/>
      <c r="E483" s="179"/>
      <c r="F483" s="94"/>
      <c r="G483" s="94"/>
      <c r="H483" s="94"/>
      <c r="I483" s="94"/>
      <c r="J483" s="94"/>
      <c r="K483" s="94"/>
      <c r="L483" s="94"/>
      <c r="M483" s="94"/>
      <c r="N483" s="94"/>
      <c r="O483" s="94"/>
      <c r="P483" s="94"/>
      <c r="Q483" s="94"/>
      <c r="R483" s="94"/>
      <c r="S483" s="94"/>
      <c r="T483" s="94"/>
      <c r="U483" s="94"/>
      <c r="V483" s="94"/>
      <c r="W483" s="94"/>
      <c r="X483" s="94"/>
      <c r="Y483" s="38"/>
    </row>
    <row r="484" spans="1:25" ht="15.75" customHeight="1">
      <c r="A484" s="94"/>
      <c r="B484" s="94"/>
      <c r="C484" s="94"/>
      <c r="D484" s="94"/>
      <c r="E484" s="179"/>
      <c r="F484" s="94"/>
      <c r="G484" s="94"/>
      <c r="H484" s="94"/>
      <c r="I484" s="94"/>
      <c r="J484" s="94"/>
      <c r="K484" s="94"/>
      <c r="L484" s="94"/>
      <c r="M484" s="94"/>
      <c r="N484" s="94"/>
      <c r="O484" s="94"/>
      <c r="P484" s="94"/>
      <c r="Q484" s="94"/>
      <c r="R484" s="94"/>
      <c r="S484" s="94"/>
      <c r="T484" s="94"/>
      <c r="U484" s="94"/>
      <c r="V484" s="94"/>
      <c r="W484" s="94"/>
      <c r="X484" s="94"/>
      <c r="Y484" s="38"/>
    </row>
    <row r="485" spans="1:25" ht="15.75" customHeight="1">
      <c r="A485" s="94"/>
      <c r="B485" s="94"/>
      <c r="C485" s="94"/>
      <c r="D485" s="94"/>
      <c r="E485" s="179"/>
      <c r="F485" s="94"/>
      <c r="G485" s="94"/>
      <c r="H485" s="94"/>
      <c r="I485" s="94"/>
      <c r="J485" s="94"/>
      <c r="K485" s="94"/>
      <c r="L485" s="94"/>
      <c r="M485" s="94"/>
      <c r="N485" s="94"/>
      <c r="O485" s="94"/>
      <c r="P485" s="94"/>
      <c r="Q485" s="94"/>
      <c r="R485" s="94"/>
      <c r="S485" s="94"/>
      <c r="T485" s="94"/>
      <c r="U485" s="94"/>
      <c r="V485" s="94"/>
      <c r="W485" s="94"/>
      <c r="X485" s="94"/>
      <c r="Y485" s="38"/>
    </row>
    <row r="486" spans="1:25" ht="15.75" customHeight="1">
      <c r="A486" s="94"/>
      <c r="B486" s="94"/>
      <c r="C486" s="94"/>
      <c r="D486" s="94"/>
      <c r="E486" s="179"/>
      <c r="F486" s="94"/>
      <c r="G486" s="94"/>
      <c r="H486" s="94"/>
      <c r="I486" s="94"/>
      <c r="J486" s="94"/>
      <c r="K486" s="94"/>
      <c r="L486" s="94"/>
      <c r="M486" s="94"/>
      <c r="N486" s="94"/>
      <c r="O486" s="94"/>
      <c r="P486" s="94"/>
      <c r="Q486" s="94"/>
      <c r="R486" s="94"/>
      <c r="S486" s="94"/>
      <c r="T486" s="94"/>
      <c r="U486" s="94"/>
      <c r="V486" s="94"/>
      <c r="W486" s="94"/>
      <c r="X486" s="94"/>
      <c r="Y486" s="38"/>
    </row>
    <row r="487" spans="1:25" ht="15.75" customHeight="1">
      <c r="A487" s="94"/>
      <c r="B487" s="94"/>
      <c r="C487" s="94"/>
      <c r="D487" s="94"/>
      <c r="E487" s="179"/>
      <c r="F487" s="94"/>
      <c r="G487" s="94"/>
      <c r="H487" s="94"/>
      <c r="I487" s="94"/>
      <c r="J487" s="94"/>
      <c r="K487" s="94"/>
      <c r="L487" s="94"/>
      <c r="M487" s="94"/>
      <c r="N487" s="94"/>
      <c r="O487" s="94"/>
      <c r="P487" s="94"/>
      <c r="Q487" s="94"/>
      <c r="R487" s="94"/>
      <c r="S487" s="94"/>
      <c r="T487" s="94"/>
      <c r="U487" s="94"/>
      <c r="V487" s="94"/>
      <c r="W487" s="94"/>
      <c r="X487" s="94"/>
      <c r="Y487" s="38"/>
    </row>
    <row r="488" spans="1:25" ht="15.75" customHeight="1">
      <c r="A488" s="94"/>
      <c r="B488" s="94"/>
      <c r="C488" s="94"/>
      <c r="D488" s="94"/>
      <c r="E488" s="179"/>
      <c r="F488" s="94"/>
      <c r="G488" s="94"/>
      <c r="H488" s="94"/>
      <c r="I488" s="94"/>
      <c r="J488" s="94"/>
      <c r="K488" s="94"/>
      <c r="L488" s="94"/>
      <c r="M488" s="94"/>
      <c r="N488" s="94"/>
      <c r="O488" s="94"/>
      <c r="P488" s="94"/>
      <c r="Q488" s="94"/>
      <c r="R488" s="94"/>
      <c r="S488" s="94"/>
      <c r="T488" s="94"/>
      <c r="U488" s="94"/>
      <c r="V488" s="94"/>
      <c r="W488" s="94"/>
      <c r="X488" s="94"/>
      <c r="Y488" s="38"/>
    </row>
    <row r="489" spans="1:25" ht="15.75" customHeight="1">
      <c r="A489" s="94"/>
      <c r="B489" s="94"/>
      <c r="C489" s="94"/>
      <c r="D489" s="94"/>
      <c r="E489" s="179"/>
      <c r="F489" s="94"/>
      <c r="G489" s="94"/>
      <c r="H489" s="94"/>
      <c r="I489" s="94"/>
      <c r="J489" s="94"/>
      <c r="K489" s="94"/>
      <c r="L489" s="94"/>
      <c r="M489" s="94"/>
      <c r="N489" s="94"/>
      <c r="O489" s="94"/>
      <c r="P489" s="94"/>
      <c r="Q489" s="94"/>
      <c r="R489" s="94"/>
      <c r="S489" s="94"/>
      <c r="T489" s="94"/>
      <c r="U489" s="94"/>
      <c r="V489" s="94"/>
      <c r="W489" s="94"/>
      <c r="X489" s="94"/>
      <c r="Y489" s="38"/>
    </row>
    <row r="490" spans="1:25" ht="15.75" customHeight="1">
      <c r="A490" s="94"/>
      <c r="B490" s="94"/>
      <c r="C490" s="94"/>
      <c r="D490" s="94"/>
      <c r="E490" s="179"/>
      <c r="F490" s="94"/>
      <c r="G490" s="94"/>
      <c r="H490" s="94"/>
      <c r="I490" s="94"/>
      <c r="J490" s="94"/>
      <c r="K490" s="94"/>
      <c r="L490" s="94"/>
      <c r="M490" s="94"/>
      <c r="N490" s="94"/>
      <c r="O490" s="94"/>
      <c r="P490" s="94"/>
      <c r="Q490" s="94"/>
      <c r="R490" s="94"/>
      <c r="S490" s="94"/>
      <c r="T490" s="94"/>
      <c r="U490" s="94"/>
      <c r="V490" s="94"/>
      <c r="W490" s="94"/>
      <c r="X490" s="94"/>
      <c r="Y490" s="38"/>
    </row>
    <row r="491" spans="1:25" ht="15.75" customHeight="1">
      <c r="A491" s="94"/>
      <c r="B491" s="94"/>
      <c r="C491" s="94"/>
      <c r="D491" s="94"/>
      <c r="E491" s="179"/>
      <c r="F491" s="94"/>
      <c r="G491" s="94"/>
      <c r="H491" s="94"/>
      <c r="I491" s="94"/>
      <c r="J491" s="94"/>
      <c r="K491" s="94"/>
      <c r="L491" s="94"/>
      <c r="M491" s="94"/>
      <c r="N491" s="94"/>
      <c r="O491" s="94"/>
      <c r="P491" s="94"/>
      <c r="Q491" s="94"/>
      <c r="R491" s="94"/>
      <c r="S491" s="94"/>
      <c r="T491" s="94"/>
      <c r="U491" s="94"/>
      <c r="V491" s="94"/>
      <c r="W491" s="94"/>
      <c r="X491" s="94"/>
      <c r="Y491" s="38"/>
    </row>
    <row r="492" spans="1:25" ht="15.75" customHeight="1">
      <c r="A492" s="94"/>
      <c r="B492" s="94"/>
      <c r="C492" s="94"/>
      <c r="D492" s="94"/>
      <c r="E492" s="179"/>
      <c r="F492" s="94"/>
      <c r="G492" s="94"/>
      <c r="H492" s="94"/>
      <c r="I492" s="94"/>
      <c r="J492" s="94"/>
      <c r="K492" s="94"/>
      <c r="L492" s="94"/>
      <c r="M492" s="94"/>
      <c r="N492" s="94"/>
      <c r="O492" s="94"/>
      <c r="P492" s="94"/>
      <c r="Q492" s="94"/>
      <c r="R492" s="94"/>
      <c r="S492" s="94"/>
      <c r="T492" s="94"/>
      <c r="U492" s="94"/>
      <c r="V492" s="94"/>
      <c r="W492" s="94"/>
      <c r="X492" s="94"/>
      <c r="Y492" s="38"/>
    </row>
    <row r="493" spans="1:25" ht="15.75" customHeight="1">
      <c r="A493" s="94"/>
      <c r="B493" s="94"/>
      <c r="C493" s="94"/>
      <c r="D493" s="94"/>
      <c r="E493" s="179"/>
      <c r="F493" s="94"/>
      <c r="G493" s="94"/>
      <c r="H493" s="94"/>
      <c r="I493" s="94"/>
      <c r="J493" s="94"/>
      <c r="K493" s="94"/>
      <c r="L493" s="94"/>
      <c r="M493" s="94"/>
      <c r="N493" s="94"/>
      <c r="O493" s="94"/>
      <c r="P493" s="94"/>
      <c r="Q493" s="94"/>
      <c r="R493" s="94"/>
      <c r="S493" s="94"/>
      <c r="T493" s="94"/>
      <c r="U493" s="94"/>
      <c r="V493" s="94"/>
      <c r="W493" s="94"/>
      <c r="X493" s="94"/>
      <c r="Y493" s="38"/>
    </row>
    <row r="494" spans="1:25" ht="15.75" customHeight="1">
      <c r="A494" s="94"/>
      <c r="B494" s="94"/>
      <c r="C494" s="94"/>
      <c r="D494" s="94"/>
      <c r="E494" s="179"/>
      <c r="F494" s="94"/>
      <c r="G494" s="94"/>
      <c r="H494" s="94"/>
      <c r="I494" s="94"/>
      <c r="J494" s="94"/>
      <c r="K494" s="94"/>
      <c r="L494" s="94"/>
      <c r="M494" s="94"/>
      <c r="N494" s="94"/>
      <c r="O494" s="94"/>
      <c r="P494" s="94"/>
      <c r="Q494" s="94"/>
      <c r="R494" s="94"/>
      <c r="S494" s="94"/>
      <c r="T494" s="94"/>
      <c r="U494" s="94"/>
      <c r="V494" s="94"/>
      <c r="W494" s="94"/>
      <c r="X494" s="94"/>
      <c r="Y494" s="38"/>
    </row>
    <row r="495" spans="1:25" ht="15.75" customHeight="1">
      <c r="A495" s="94"/>
      <c r="B495" s="94"/>
      <c r="C495" s="94"/>
      <c r="D495" s="94"/>
      <c r="E495" s="179"/>
      <c r="F495" s="94"/>
      <c r="G495" s="94"/>
      <c r="H495" s="94"/>
      <c r="I495" s="94"/>
      <c r="J495" s="94"/>
      <c r="K495" s="94"/>
      <c r="L495" s="94"/>
      <c r="M495" s="94"/>
      <c r="N495" s="94"/>
      <c r="O495" s="94"/>
      <c r="P495" s="94"/>
      <c r="Q495" s="94"/>
      <c r="R495" s="94"/>
      <c r="S495" s="94"/>
      <c r="T495" s="94"/>
      <c r="U495" s="94"/>
      <c r="V495" s="94"/>
      <c r="W495" s="94"/>
      <c r="X495" s="94"/>
      <c r="Y495" s="38"/>
    </row>
    <row r="496" spans="1:25" ht="15.75" customHeight="1">
      <c r="A496" s="94"/>
      <c r="B496" s="94"/>
      <c r="C496" s="94"/>
      <c r="D496" s="94"/>
      <c r="E496" s="179"/>
      <c r="F496" s="94"/>
      <c r="G496" s="94"/>
      <c r="H496" s="94"/>
      <c r="I496" s="94"/>
      <c r="J496" s="94"/>
      <c r="K496" s="94"/>
      <c r="L496" s="94"/>
      <c r="M496" s="94"/>
      <c r="N496" s="94"/>
      <c r="O496" s="94"/>
      <c r="P496" s="94"/>
      <c r="Q496" s="94"/>
      <c r="R496" s="94"/>
      <c r="S496" s="94"/>
      <c r="T496" s="94"/>
      <c r="U496" s="94"/>
      <c r="V496" s="94"/>
      <c r="W496" s="94"/>
      <c r="X496" s="94"/>
      <c r="Y496" s="38"/>
    </row>
    <row r="497" spans="1:25" ht="15.75" customHeight="1">
      <c r="A497" s="94"/>
      <c r="B497" s="94"/>
      <c r="C497" s="94"/>
      <c r="D497" s="94"/>
      <c r="E497" s="179"/>
      <c r="F497" s="94"/>
      <c r="G497" s="94"/>
      <c r="H497" s="94"/>
      <c r="I497" s="94"/>
      <c r="J497" s="94"/>
      <c r="K497" s="94"/>
      <c r="L497" s="94"/>
      <c r="M497" s="94"/>
      <c r="N497" s="94"/>
      <c r="O497" s="94"/>
      <c r="P497" s="94"/>
      <c r="Q497" s="94"/>
      <c r="R497" s="94"/>
      <c r="S497" s="94"/>
      <c r="T497" s="94"/>
      <c r="U497" s="94"/>
      <c r="V497" s="94"/>
      <c r="W497" s="94"/>
      <c r="X497" s="94"/>
      <c r="Y497" s="38"/>
    </row>
    <row r="498" spans="1:25" ht="15.75" customHeight="1">
      <c r="A498" s="94"/>
      <c r="B498" s="94"/>
      <c r="C498" s="94"/>
      <c r="D498" s="94"/>
      <c r="E498" s="179"/>
      <c r="F498" s="94"/>
      <c r="G498" s="94"/>
      <c r="H498" s="94"/>
      <c r="I498" s="94"/>
      <c r="J498" s="94"/>
      <c r="K498" s="94"/>
      <c r="L498" s="94"/>
      <c r="M498" s="94"/>
      <c r="N498" s="94"/>
      <c r="O498" s="94"/>
      <c r="P498" s="94"/>
      <c r="Q498" s="94"/>
      <c r="R498" s="94"/>
      <c r="S498" s="94"/>
      <c r="T498" s="94"/>
      <c r="U498" s="94"/>
      <c r="V498" s="94"/>
      <c r="W498" s="94"/>
      <c r="X498" s="94"/>
      <c r="Y498" s="38"/>
    </row>
    <row r="499" spans="1:25" ht="15.75" customHeight="1">
      <c r="A499" s="94"/>
      <c r="B499" s="94"/>
      <c r="C499" s="94"/>
      <c r="D499" s="94"/>
      <c r="E499" s="179"/>
      <c r="F499" s="94"/>
      <c r="G499" s="94"/>
      <c r="H499" s="94"/>
      <c r="I499" s="94"/>
      <c r="J499" s="94"/>
      <c r="K499" s="94"/>
      <c r="L499" s="94"/>
      <c r="M499" s="94"/>
      <c r="N499" s="94"/>
      <c r="O499" s="94"/>
      <c r="P499" s="94"/>
      <c r="Q499" s="94"/>
      <c r="R499" s="94"/>
      <c r="S499" s="94"/>
      <c r="T499" s="94"/>
      <c r="U499" s="94"/>
      <c r="V499" s="94"/>
      <c r="W499" s="94"/>
      <c r="X499" s="94"/>
      <c r="Y499" s="38"/>
    </row>
    <row r="500" spans="1:25" ht="15.75" customHeight="1">
      <c r="A500" s="94"/>
      <c r="B500" s="94"/>
      <c r="C500" s="94"/>
      <c r="D500" s="94"/>
      <c r="E500" s="179"/>
      <c r="F500" s="94"/>
      <c r="G500" s="94"/>
      <c r="H500" s="94"/>
      <c r="I500" s="94"/>
      <c r="J500" s="94"/>
      <c r="K500" s="94"/>
      <c r="L500" s="94"/>
      <c r="M500" s="94"/>
      <c r="N500" s="94"/>
      <c r="O500" s="94"/>
      <c r="P500" s="94"/>
      <c r="Q500" s="94"/>
      <c r="R500" s="94"/>
      <c r="S500" s="94"/>
      <c r="T500" s="94"/>
      <c r="U500" s="94"/>
      <c r="V500" s="94"/>
      <c r="W500" s="94"/>
      <c r="X500" s="94"/>
      <c r="Y500" s="38"/>
    </row>
    <row r="501" spans="1:25" ht="15.75" customHeight="1">
      <c r="A501" s="94"/>
      <c r="B501" s="94"/>
      <c r="C501" s="94"/>
      <c r="D501" s="94"/>
      <c r="E501" s="179"/>
      <c r="F501" s="94"/>
      <c r="G501" s="94"/>
      <c r="H501" s="94"/>
      <c r="I501" s="94"/>
      <c r="J501" s="94"/>
      <c r="K501" s="94"/>
      <c r="L501" s="94"/>
      <c r="M501" s="94"/>
      <c r="N501" s="94"/>
      <c r="O501" s="94"/>
      <c r="P501" s="94"/>
      <c r="Q501" s="94"/>
      <c r="R501" s="94"/>
      <c r="S501" s="94"/>
      <c r="T501" s="94"/>
      <c r="U501" s="94"/>
      <c r="V501" s="94"/>
      <c r="W501" s="94"/>
      <c r="X501" s="94"/>
      <c r="Y501" s="38"/>
    </row>
    <row r="502" spans="1:25" ht="15.75" customHeight="1">
      <c r="A502" s="94"/>
      <c r="B502" s="94"/>
      <c r="C502" s="94"/>
      <c r="D502" s="94"/>
      <c r="E502" s="179"/>
      <c r="F502" s="94"/>
      <c r="G502" s="94"/>
      <c r="H502" s="94"/>
      <c r="I502" s="94"/>
      <c r="J502" s="94"/>
      <c r="K502" s="94"/>
      <c r="L502" s="94"/>
      <c r="M502" s="94"/>
      <c r="N502" s="94"/>
      <c r="O502" s="94"/>
      <c r="P502" s="94"/>
      <c r="Q502" s="94"/>
      <c r="R502" s="94"/>
      <c r="S502" s="94"/>
      <c r="T502" s="94"/>
      <c r="U502" s="94"/>
      <c r="V502" s="94"/>
      <c r="W502" s="94"/>
      <c r="X502" s="94"/>
      <c r="Y502" s="38"/>
    </row>
    <row r="503" spans="1:25" ht="15.75" customHeight="1">
      <c r="A503" s="94"/>
      <c r="B503" s="94"/>
      <c r="C503" s="94"/>
      <c r="D503" s="94"/>
      <c r="E503" s="179"/>
      <c r="F503" s="94"/>
      <c r="G503" s="94"/>
      <c r="H503" s="94"/>
      <c r="I503" s="94"/>
      <c r="J503" s="94"/>
      <c r="K503" s="94"/>
      <c r="L503" s="94"/>
      <c r="M503" s="94"/>
      <c r="N503" s="94"/>
      <c r="O503" s="94"/>
      <c r="P503" s="94"/>
      <c r="Q503" s="94"/>
      <c r="R503" s="94"/>
      <c r="S503" s="94"/>
      <c r="T503" s="94"/>
      <c r="U503" s="94"/>
      <c r="V503" s="94"/>
      <c r="W503" s="94"/>
      <c r="X503" s="94"/>
      <c r="Y503" s="38"/>
    </row>
    <row r="504" spans="1:25" ht="15.75" customHeight="1">
      <c r="A504" s="94"/>
      <c r="B504" s="94"/>
      <c r="C504" s="94"/>
      <c r="D504" s="94"/>
      <c r="E504" s="179"/>
      <c r="F504" s="94"/>
      <c r="G504" s="94"/>
      <c r="H504" s="94"/>
      <c r="I504" s="94"/>
      <c r="J504" s="94"/>
      <c r="K504" s="94"/>
      <c r="L504" s="94"/>
      <c r="M504" s="94"/>
      <c r="N504" s="94"/>
      <c r="O504" s="94"/>
      <c r="P504" s="94"/>
      <c r="Q504" s="94"/>
      <c r="R504" s="94"/>
      <c r="S504" s="94"/>
      <c r="T504" s="94"/>
      <c r="U504" s="94"/>
      <c r="V504" s="94"/>
      <c r="W504" s="94"/>
      <c r="X504" s="94"/>
      <c r="Y504" s="38"/>
    </row>
    <row r="505" spans="1:25" ht="15.75" customHeight="1">
      <c r="A505" s="94"/>
      <c r="B505" s="94"/>
      <c r="C505" s="94"/>
      <c r="D505" s="94"/>
      <c r="E505" s="179"/>
      <c r="F505" s="94"/>
      <c r="G505" s="94"/>
      <c r="H505" s="94"/>
      <c r="I505" s="94"/>
      <c r="J505" s="94"/>
      <c r="K505" s="94"/>
      <c r="L505" s="94"/>
      <c r="M505" s="94"/>
      <c r="N505" s="94"/>
      <c r="O505" s="94"/>
      <c r="P505" s="94"/>
      <c r="Q505" s="94"/>
      <c r="R505" s="94"/>
      <c r="S505" s="94"/>
      <c r="T505" s="94"/>
      <c r="U505" s="94"/>
      <c r="V505" s="94"/>
      <c r="W505" s="94"/>
      <c r="X505" s="94"/>
      <c r="Y505" s="38"/>
    </row>
    <row r="506" spans="1:25" ht="15.75" customHeight="1">
      <c r="A506" s="94"/>
      <c r="B506" s="94"/>
      <c r="C506" s="94"/>
      <c r="D506" s="94"/>
      <c r="E506" s="179"/>
      <c r="F506" s="94"/>
      <c r="G506" s="94"/>
      <c r="H506" s="94"/>
      <c r="I506" s="94"/>
      <c r="J506" s="94"/>
      <c r="K506" s="94"/>
      <c r="L506" s="94"/>
      <c r="M506" s="94"/>
      <c r="N506" s="94"/>
      <c r="O506" s="94"/>
      <c r="P506" s="94"/>
      <c r="Q506" s="94"/>
      <c r="R506" s="94"/>
      <c r="S506" s="94"/>
      <c r="T506" s="94"/>
      <c r="U506" s="94"/>
      <c r="V506" s="94"/>
      <c r="W506" s="94"/>
      <c r="X506" s="94"/>
      <c r="Y506" s="38"/>
    </row>
    <row r="507" spans="1:25" ht="15.75" customHeight="1">
      <c r="A507" s="94"/>
      <c r="B507" s="94"/>
      <c r="C507" s="94"/>
      <c r="D507" s="94"/>
      <c r="E507" s="179"/>
      <c r="F507" s="94"/>
      <c r="G507" s="94"/>
      <c r="H507" s="94"/>
      <c r="I507" s="94"/>
      <c r="J507" s="94"/>
      <c r="K507" s="94"/>
      <c r="L507" s="94"/>
      <c r="M507" s="94"/>
      <c r="N507" s="94"/>
      <c r="O507" s="94"/>
      <c r="P507" s="94"/>
      <c r="Q507" s="94"/>
      <c r="R507" s="94"/>
      <c r="S507" s="94"/>
      <c r="T507" s="94"/>
      <c r="U507" s="94"/>
      <c r="V507" s="94"/>
      <c r="W507" s="94"/>
      <c r="X507" s="94"/>
      <c r="Y507" s="38"/>
    </row>
    <row r="508" spans="1:25" ht="15.75" customHeight="1">
      <c r="A508" s="94"/>
      <c r="B508" s="94"/>
      <c r="C508" s="94"/>
      <c r="D508" s="94"/>
      <c r="E508" s="179"/>
      <c r="F508" s="94"/>
      <c r="G508" s="94"/>
      <c r="H508" s="94"/>
      <c r="I508" s="94"/>
      <c r="J508" s="94"/>
      <c r="K508" s="94"/>
      <c r="L508" s="94"/>
      <c r="M508" s="94"/>
      <c r="N508" s="94"/>
      <c r="O508" s="94"/>
      <c r="P508" s="94"/>
      <c r="Q508" s="94"/>
      <c r="R508" s="94"/>
      <c r="S508" s="94"/>
      <c r="T508" s="94"/>
      <c r="U508" s="94"/>
      <c r="V508" s="94"/>
      <c r="W508" s="94"/>
      <c r="X508" s="94"/>
      <c r="Y508" s="38"/>
    </row>
    <row r="509" spans="1:25" ht="15.75" customHeight="1">
      <c r="A509" s="94"/>
      <c r="B509" s="94"/>
      <c r="C509" s="94"/>
      <c r="D509" s="94"/>
      <c r="E509" s="179"/>
      <c r="F509" s="94"/>
      <c r="G509" s="94"/>
      <c r="H509" s="94"/>
      <c r="I509" s="94"/>
      <c r="J509" s="94"/>
      <c r="K509" s="94"/>
      <c r="L509" s="94"/>
      <c r="M509" s="94"/>
      <c r="N509" s="94"/>
      <c r="O509" s="94"/>
      <c r="P509" s="94"/>
      <c r="Q509" s="94"/>
      <c r="R509" s="94"/>
      <c r="S509" s="94"/>
      <c r="T509" s="94"/>
      <c r="U509" s="94"/>
      <c r="V509" s="94"/>
      <c r="W509" s="94"/>
      <c r="X509" s="94"/>
      <c r="Y509" s="38"/>
    </row>
    <row r="510" spans="1:25" ht="15.75" customHeight="1">
      <c r="A510" s="94"/>
      <c r="B510" s="94"/>
      <c r="C510" s="94"/>
      <c r="D510" s="94"/>
      <c r="E510" s="179"/>
      <c r="F510" s="94"/>
      <c r="G510" s="94"/>
      <c r="H510" s="94"/>
      <c r="I510" s="94"/>
      <c r="J510" s="94"/>
      <c r="K510" s="94"/>
      <c r="L510" s="94"/>
      <c r="M510" s="94"/>
      <c r="N510" s="94"/>
      <c r="O510" s="94"/>
      <c r="P510" s="94"/>
      <c r="Q510" s="94"/>
      <c r="R510" s="94"/>
      <c r="S510" s="94"/>
      <c r="T510" s="94"/>
      <c r="U510" s="94"/>
      <c r="V510" s="94"/>
      <c r="W510" s="94"/>
      <c r="X510" s="94"/>
      <c r="Y510" s="38"/>
    </row>
    <row r="511" spans="1:25" ht="15.75" customHeight="1">
      <c r="A511" s="94"/>
      <c r="B511" s="94"/>
      <c r="C511" s="94"/>
      <c r="D511" s="94"/>
      <c r="E511" s="179"/>
      <c r="F511" s="94"/>
      <c r="G511" s="94"/>
      <c r="H511" s="94"/>
      <c r="I511" s="94"/>
      <c r="J511" s="94"/>
      <c r="K511" s="94"/>
      <c r="L511" s="94"/>
      <c r="M511" s="94"/>
      <c r="N511" s="94"/>
      <c r="O511" s="94"/>
      <c r="P511" s="94"/>
      <c r="Q511" s="94"/>
      <c r="R511" s="94"/>
      <c r="S511" s="94"/>
      <c r="T511" s="94"/>
      <c r="U511" s="94"/>
      <c r="V511" s="94"/>
      <c r="W511" s="94"/>
      <c r="X511" s="94"/>
      <c r="Y511" s="38"/>
    </row>
    <row r="512" spans="1:25" ht="15.75" customHeight="1">
      <c r="A512" s="94"/>
      <c r="B512" s="94"/>
      <c r="C512" s="94"/>
      <c r="D512" s="94"/>
      <c r="E512" s="179"/>
      <c r="F512" s="94"/>
      <c r="G512" s="94"/>
      <c r="H512" s="94"/>
      <c r="I512" s="94"/>
      <c r="J512" s="94"/>
      <c r="K512" s="94"/>
      <c r="L512" s="94"/>
      <c r="M512" s="94"/>
      <c r="N512" s="94"/>
      <c r="O512" s="94"/>
      <c r="P512" s="94"/>
      <c r="Q512" s="94"/>
      <c r="R512" s="94"/>
      <c r="S512" s="94"/>
      <c r="T512" s="94"/>
      <c r="U512" s="94"/>
      <c r="V512" s="94"/>
      <c r="W512" s="94"/>
      <c r="X512" s="94"/>
      <c r="Y512" s="38"/>
    </row>
    <row r="513" spans="1:25" ht="15.75" customHeight="1">
      <c r="A513" s="94"/>
      <c r="B513" s="94"/>
      <c r="C513" s="94"/>
      <c r="D513" s="94"/>
      <c r="E513" s="179"/>
      <c r="F513" s="94"/>
      <c r="G513" s="94"/>
      <c r="H513" s="94"/>
      <c r="I513" s="94"/>
      <c r="J513" s="94"/>
      <c r="K513" s="94"/>
      <c r="L513" s="94"/>
      <c r="M513" s="94"/>
      <c r="N513" s="94"/>
      <c r="O513" s="94"/>
      <c r="P513" s="94"/>
      <c r="Q513" s="94"/>
      <c r="R513" s="94"/>
      <c r="S513" s="94"/>
      <c r="T513" s="94"/>
      <c r="U513" s="94"/>
      <c r="V513" s="94"/>
      <c r="W513" s="94"/>
      <c r="X513" s="94"/>
      <c r="Y513" s="38"/>
    </row>
    <row r="514" spans="1:25" ht="15.75" customHeight="1">
      <c r="A514" s="94"/>
      <c r="B514" s="94"/>
      <c r="C514" s="94"/>
      <c r="D514" s="94"/>
      <c r="E514" s="179"/>
      <c r="F514" s="94"/>
      <c r="G514" s="94"/>
      <c r="H514" s="94"/>
      <c r="I514" s="94"/>
      <c r="J514" s="94"/>
      <c r="K514" s="94"/>
      <c r="L514" s="94"/>
      <c r="M514" s="94"/>
      <c r="N514" s="94"/>
      <c r="O514" s="94"/>
      <c r="P514" s="94"/>
      <c r="Q514" s="94"/>
      <c r="R514" s="94"/>
      <c r="S514" s="94"/>
      <c r="T514" s="94"/>
      <c r="U514" s="94"/>
      <c r="V514" s="94"/>
      <c r="W514" s="94"/>
      <c r="X514" s="94"/>
      <c r="Y514" s="38"/>
    </row>
    <row r="515" spans="1:25" ht="15.75" customHeight="1">
      <c r="A515" s="94"/>
      <c r="B515" s="94"/>
      <c r="C515" s="94"/>
      <c r="D515" s="94"/>
      <c r="E515" s="179"/>
      <c r="F515" s="94"/>
      <c r="G515" s="94"/>
      <c r="H515" s="94"/>
      <c r="I515" s="94"/>
      <c r="J515" s="94"/>
      <c r="K515" s="94"/>
      <c r="L515" s="94"/>
      <c r="M515" s="94"/>
      <c r="N515" s="94"/>
      <c r="O515" s="94"/>
      <c r="P515" s="94"/>
      <c r="Q515" s="94"/>
      <c r="R515" s="94"/>
      <c r="S515" s="94"/>
      <c r="T515" s="94"/>
      <c r="U515" s="94"/>
      <c r="V515" s="94"/>
      <c r="W515" s="94"/>
      <c r="X515" s="94"/>
      <c r="Y515" s="38"/>
    </row>
    <row r="516" spans="1:25" ht="15.75" customHeight="1">
      <c r="A516" s="94"/>
      <c r="B516" s="94"/>
      <c r="C516" s="94"/>
      <c r="D516" s="94"/>
      <c r="E516" s="179"/>
      <c r="F516" s="94"/>
      <c r="G516" s="94"/>
      <c r="H516" s="94"/>
      <c r="I516" s="94"/>
      <c r="J516" s="94"/>
      <c r="K516" s="94"/>
      <c r="L516" s="94"/>
      <c r="M516" s="94"/>
      <c r="N516" s="94"/>
      <c r="O516" s="94"/>
      <c r="P516" s="94"/>
      <c r="Q516" s="94"/>
      <c r="R516" s="94"/>
      <c r="S516" s="94"/>
      <c r="T516" s="94"/>
      <c r="U516" s="94"/>
      <c r="V516" s="94"/>
      <c r="W516" s="94"/>
      <c r="X516" s="94"/>
      <c r="Y516" s="38"/>
    </row>
    <row r="517" spans="1:25" ht="15.75" customHeight="1">
      <c r="A517" s="94"/>
      <c r="B517" s="94"/>
      <c r="C517" s="94"/>
      <c r="D517" s="94"/>
      <c r="E517" s="179"/>
      <c r="F517" s="94"/>
      <c r="G517" s="94"/>
      <c r="H517" s="94"/>
      <c r="I517" s="94"/>
      <c r="J517" s="94"/>
      <c r="K517" s="94"/>
      <c r="L517" s="94"/>
      <c r="M517" s="94"/>
      <c r="N517" s="94"/>
      <c r="O517" s="94"/>
      <c r="P517" s="94"/>
      <c r="Q517" s="94"/>
      <c r="R517" s="94"/>
      <c r="S517" s="94"/>
      <c r="T517" s="94"/>
      <c r="U517" s="94"/>
      <c r="V517" s="94"/>
      <c r="W517" s="94"/>
      <c r="X517" s="94"/>
      <c r="Y517" s="38"/>
    </row>
    <row r="518" spans="1:25" ht="15.75" customHeight="1">
      <c r="A518" s="94"/>
      <c r="B518" s="94"/>
      <c r="C518" s="94"/>
      <c r="D518" s="94"/>
      <c r="E518" s="179"/>
      <c r="F518" s="94"/>
      <c r="G518" s="94"/>
      <c r="H518" s="94"/>
      <c r="I518" s="94"/>
      <c r="J518" s="94"/>
      <c r="K518" s="94"/>
      <c r="L518" s="94"/>
      <c r="M518" s="94"/>
      <c r="N518" s="94"/>
      <c r="O518" s="94"/>
      <c r="P518" s="94"/>
      <c r="Q518" s="94"/>
      <c r="R518" s="94"/>
      <c r="S518" s="94"/>
      <c r="T518" s="94"/>
      <c r="U518" s="94"/>
      <c r="V518" s="94"/>
      <c r="W518" s="94"/>
      <c r="X518" s="94"/>
      <c r="Y518" s="38"/>
    </row>
    <row r="519" spans="1:25" ht="15.75" customHeight="1">
      <c r="A519" s="94"/>
      <c r="B519" s="94"/>
      <c r="C519" s="94"/>
      <c r="D519" s="94"/>
      <c r="E519" s="179"/>
      <c r="F519" s="94"/>
      <c r="G519" s="94"/>
      <c r="H519" s="94"/>
      <c r="I519" s="94"/>
      <c r="J519" s="94"/>
      <c r="K519" s="94"/>
      <c r="L519" s="94"/>
      <c r="M519" s="94"/>
      <c r="N519" s="94"/>
      <c r="O519" s="94"/>
      <c r="P519" s="94"/>
      <c r="Q519" s="94"/>
      <c r="R519" s="94"/>
      <c r="S519" s="94"/>
      <c r="T519" s="94"/>
      <c r="U519" s="94"/>
      <c r="V519" s="94"/>
      <c r="W519" s="94"/>
      <c r="X519" s="94"/>
      <c r="Y519" s="38"/>
    </row>
    <row r="520" spans="1:25" ht="15.75" customHeight="1">
      <c r="A520" s="94"/>
      <c r="B520" s="94"/>
      <c r="C520" s="94"/>
      <c r="D520" s="94"/>
      <c r="E520" s="179"/>
      <c r="F520" s="94"/>
      <c r="G520" s="94"/>
      <c r="H520" s="94"/>
      <c r="I520" s="94"/>
      <c r="J520" s="94"/>
      <c r="K520" s="94"/>
      <c r="L520" s="94"/>
      <c r="M520" s="94"/>
      <c r="N520" s="94"/>
      <c r="O520" s="94"/>
      <c r="P520" s="94"/>
      <c r="Q520" s="94"/>
      <c r="R520" s="94"/>
      <c r="S520" s="94"/>
      <c r="T520" s="94"/>
      <c r="U520" s="94"/>
      <c r="V520" s="94"/>
      <c r="W520" s="94"/>
      <c r="X520" s="94"/>
      <c r="Y520" s="38"/>
    </row>
    <row r="521" spans="1:25" ht="15.75" customHeight="1">
      <c r="A521" s="94"/>
      <c r="B521" s="94"/>
      <c r="C521" s="94"/>
      <c r="D521" s="94"/>
      <c r="E521" s="179"/>
      <c r="F521" s="94"/>
      <c r="G521" s="94"/>
      <c r="H521" s="94"/>
      <c r="I521" s="94"/>
      <c r="J521" s="94"/>
      <c r="K521" s="94"/>
      <c r="L521" s="94"/>
      <c r="M521" s="94"/>
      <c r="N521" s="94"/>
      <c r="O521" s="94"/>
      <c r="P521" s="94"/>
      <c r="Q521" s="94"/>
      <c r="R521" s="94"/>
      <c r="S521" s="94"/>
      <c r="T521" s="94"/>
      <c r="U521" s="94"/>
      <c r="V521" s="94"/>
      <c r="W521" s="94"/>
      <c r="X521" s="94"/>
      <c r="Y521" s="38"/>
    </row>
    <row r="522" spans="1:25" ht="15.75" customHeight="1">
      <c r="A522" s="94"/>
      <c r="B522" s="94"/>
      <c r="C522" s="94"/>
      <c r="D522" s="94"/>
      <c r="E522" s="179"/>
      <c r="F522" s="94"/>
      <c r="G522" s="94"/>
      <c r="H522" s="94"/>
      <c r="I522" s="94"/>
      <c r="J522" s="94"/>
      <c r="K522" s="94"/>
      <c r="L522" s="94"/>
      <c r="M522" s="94"/>
      <c r="N522" s="94"/>
      <c r="O522" s="94"/>
      <c r="P522" s="94"/>
      <c r="Q522" s="94"/>
      <c r="R522" s="94"/>
      <c r="S522" s="94"/>
      <c r="T522" s="94"/>
      <c r="U522" s="94"/>
      <c r="V522" s="94"/>
      <c r="W522" s="94"/>
      <c r="X522" s="94"/>
      <c r="Y522" s="38"/>
    </row>
    <row r="523" spans="1:25" ht="15.75" customHeight="1">
      <c r="A523" s="94"/>
      <c r="B523" s="94"/>
      <c r="C523" s="94"/>
      <c r="D523" s="94"/>
      <c r="E523" s="179"/>
      <c r="F523" s="94"/>
      <c r="G523" s="94"/>
      <c r="H523" s="94"/>
      <c r="I523" s="94"/>
      <c r="J523" s="94"/>
      <c r="K523" s="94"/>
      <c r="L523" s="94"/>
      <c r="M523" s="94"/>
      <c r="N523" s="94"/>
      <c r="O523" s="94"/>
      <c r="P523" s="94"/>
      <c r="Q523" s="94"/>
      <c r="R523" s="94"/>
      <c r="S523" s="94"/>
      <c r="T523" s="94"/>
      <c r="U523" s="94"/>
      <c r="V523" s="94"/>
      <c r="W523" s="94"/>
      <c r="X523" s="94"/>
      <c r="Y523" s="38"/>
    </row>
    <row r="524" spans="1:25" ht="15.75" customHeight="1">
      <c r="A524" s="94"/>
      <c r="B524" s="94"/>
      <c r="C524" s="94"/>
      <c r="D524" s="94"/>
      <c r="E524" s="179"/>
      <c r="F524" s="94"/>
      <c r="G524" s="94"/>
      <c r="H524" s="94"/>
      <c r="I524" s="94"/>
      <c r="J524" s="94"/>
      <c r="K524" s="94"/>
      <c r="L524" s="94"/>
      <c r="M524" s="94"/>
      <c r="N524" s="94"/>
      <c r="O524" s="94"/>
      <c r="P524" s="94"/>
      <c r="Q524" s="94"/>
      <c r="R524" s="94"/>
      <c r="S524" s="94"/>
      <c r="T524" s="94"/>
      <c r="U524" s="94"/>
      <c r="V524" s="94"/>
      <c r="W524" s="94"/>
      <c r="X524" s="94"/>
      <c r="Y524" s="38"/>
    </row>
    <row r="525" spans="1:25" ht="15.75" customHeight="1">
      <c r="A525" s="94"/>
      <c r="B525" s="94"/>
      <c r="C525" s="94"/>
      <c r="D525" s="94"/>
      <c r="E525" s="179"/>
      <c r="F525" s="94"/>
      <c r="G525" s="94"/>
      <c r="H525" s="94"/>
      <c r="I525" s="94"/>
      <c r="J525" s="94"/>
      <c r="K525" s="94"/>
      <c r="L525" s="94"/>
      <c r="M525" s="94"/>
      <c r="N525" s="94"/>
      <c r="O525" s="94"/>
      <c r="P525" s="94"/>
      <c r="Q525" s="94"/>
      <c r="R525" s="94"/>
      <c r="S525" s="94"/>
      <c r="T525" s="94"/>
      <c r="U525" s="94"/>
      <c r="V525" s="94"/>
      <c r="W525" s="94"/>
      <c r="X525" s="94"/>
      <c r="Y525" s="38"/>
    </row>
    <row r="526" spans="1:25" ht="15.75" customHeight="1">
      <c r="A526" s="94"/>
      <c r="B526" s="94"/>
      <c r="C526" s="94"/>
      <c r="D526" s="94"/>
      <c r="E526" s="179"/>
      <c r="F526" s="94"/>
      <c r="G526" s="94"/>
      <c r="H526" s="94"/>
      <c r="I526" s="94"/>
      <c r="J526" s="94"/>
      <c r="K526" s="94"/>
      <c r="L526" s="94"/>
      <c r="M526" s="94"/>
      <c r="N526" s="94"/>
      <c r="O526" s="94"/>
      <c r="P526" s="94"/>
      <c r="Q526" s="94"/>
      <c r="R526" s="94"/>
      <c r="S526" s="94"/>
      <c r="T526" s="94"/>
      <c r="U526" s="94"/>
      <c r="V526" s="94"/>
      <c r="W526" s="94"/>
      <c r="X526" s="94"/>
      <c r="Y526" s="38"/>
    </row>
    <row r="527" spans="1:25" ht="15.75" customHeight="1">
      <c r="A527" s="94"/>
      <c r="B527" s="94"/>
      <c r="C527" s="94"/>
      <c r="D527" s="94"/>
      <c r="E527" s="179"/>
      <c r="F527" s="94"/>
      <c r="G527" s="94"/>
      <c r="H527" s="94"/>
      <c r="I527" s="94"/>
      <c r="J527" s="94"/>
      <c r="K527" s="94"/>
      <c r="L527" s="94"/>
      <c r="M527" s="94"/>
      <c r="N527" s="94"/>
      <c r="O527" s="94"/>
      <c r="P527" s="94"/>
      <c r="Q527" s="94"/>
      <c r="R527" s="94"/>
      <c r="S527" s="94"/>
      <c r="T527" s="94"/>
      <c r="U527" s="94"/>
      <c r="V527" s="94"/>
      <c r="W527" s="94"/>
      <c r="X527" s="94"/>
      <c r="Y527" s="38"/>
    </row>
    <row r="528" spans="1:25" ht="15.75" customHeight="1">
      <c r="A528" s="94"/>
      <c r="B528" s="94"/>
      <c r="C528" s="94"/>
      <c r="D528" s="94"/>
      <c r="E528" s="179"/>
      <c r="F528" s="94"/>
      <c r="G528" s="94"/>
      <c r="H528" s="94"/>
      <c r="I528" s="94"/>
      <c r="J528" s="94"/>
      <c r="K528" s="94"/>
      <c r="L528" s="94"/>
      <c r="M528" s="94"/>
      <c r="N528" s="94"/>
      <c r="O528" s="94"/>
      <c r="P528" s="94"/>
      <c r="Q528" s="94"/>
      <c r="R528" s="94"/>
      <c r="S528" s="94"/>
      <c r="T528" s="94"/>
      <c r="U528" s="94"/>
      <c r="V528" s="94"/>
      <c r="W528" s="94"/>
      <c r="X528" s="94"/>
      <c r="Y528" s="38"/>
    </row>
    <row r="529" spans="1:25" ht="15.75" customHeight="1">
      <c r="A529" s="94"/>
      <c r="B529" s="94"/>
      <c r="C529" s="94"/>
      <c r="D529" s="94"/>
      <c r="E529" s="179"/>
      <c r="F529" s="94"/>
      <c r="G529" s="94"/>
      <c r="H529" s="94"/>
      <c r="I529" s="94"/>
      <c r="J529" s="94"/>
      <c r="K529" s="94"/>
      <c r="L529" s="94"/>
      <c r="M529" s="94"/>
      <c r="N529" s="94"/>
      <c r="O529" s="94"/>
      <c r="P529" s="94"/>
      <c r="Q529" s="94"/>
      <c r="R529" s="94"/>
      <c r="S529" s="94"/>
      <c r="T529" s="94"/>
      <c r="U529" s="94"/>
      <c r="V529" s="94"/>
      <c r="W529" s="94"/>
      <c r="X529" s="94"/>
      <c r="Y529" s="38"/>
    </row>
    <row r="530" spans="1:25" ht="15.75" customHeight="1">
      <c r="A530" s="94"/>
      <c r="B530" s="94"/>
      <c r="C530" s="94"/>
      <c r="D530" s="94"/>
      <c r="E530" s="179"/>
      <c r="F530" s="94"/>
      <c r="G530" s="94"/>
      <c r="H530" s="94"/>
      <c r="I530" s="94"/>
      <c r="J530" s="94"/>
      <c r="K530" s="94"/>
      <c r="L530" s="94"/>
      <c r="M530" s="94"/>
      <c r="N530" s="94"/>
      <c r="O530" s="94"/>
      <c r="P530" s="94"/>
      <c r="Q530" s="94"/>
      <c r="R530" s="94"/>
      <c r="S530" s="94"/>
      <c r="T530" s="94"/>
      <c r="U530" s="94"/>
      <c r="V530" s="94"/>
      <c r="W530" s="94"/>
      <c r="X530" s="94"/>
      <c r="Y530" s="38"/>
    </row>
    <row r="531" spans="1:25" ht="15.75" customHeight="1">
      <c r="A531" s="94"/>
      <c r="B531" s="94"/>
      <c r="C531" s="94"/>
      <c r="D531" s="94"/>
      <c r="E531" s="179"/>
      <c r="F531" s="94"/>
      <c r="G531" s="94"/>
      <c r="H531" s="94"/>
      <c r="I531" s="94"/>
      <c r="J531" s="94"/>
      <c r="K531" s="94"/>
      <c r="L531" s="94"/>
      <c r="M531" s="94"/>
      <c r="N531" s="94"/>
      <c r="O531" s="94"/>
      <c r="P531" s="94"/>
      <c r="Q531" s="94"/>
      <c r="R531" s="94"/>
      <c r="S531" s="94"/>
      <c r="T531" s="94"/>
      <c r="U531" s="94"/>
      <c r="V531" s="94"/>
      <c r="W531" s="94"/>
      <c r="X531" s="94"/>
      <c r="Y531" s="38"/>
    </row>
    <row r="532" spans="1:25" ht="15.75" customHeight="1">
      <c r="A532" s="94"/>
      <c r="B532" s="94"/>
      <c r="C532" s="94"/>
      <c r="D532" s="94"/>
      <c r="E532" s="179"/>
      <c r="F532" s="94"/>
      <c r="G532" s="94"/>
      <c r="H532" s="94"/>
      <c r="I532" s="94"/>
      <c r="J532" s="94"/>
      <c r="K532" s="94"/>
      <c r="L532" s="94"/>
      <c r="M532" s="94"/>
      <c r="N532" s="94"/>
      <c r="O532" s="94"/>
      <c r="P532" s="94"/>
      <c r="Q532" s="94"/>
      <c r="R532" s="94"/>
      <c r="S532" s="94"/>
      <c r="T532" s="94"/>
      <c r="U532" s="94"/>
      <c r="V532" s="94"/>
      <c r="W532" s="94"/>
      <c r="X532" s="94"/>
      <c r="Y532" s="38"/>
    </row>
    <row r="533" spans="1:25" ht="15.75" customHeight="1">
      <c r="A533" s="94"/>
      <c r="B533" s="94"/>
      <c r="C533" s="94"/>
      <c r="D533" s="94"/>
      <c r="E533" s="179"/>
      <c r="F533" s="94"/>
      <c r="G533" s="94"/>
      <c r="H533" s="94"/>
      <c r="I533" s="94"/>
      <c r="J533" s="94"/>
      <c r="K533" s="94"/>
      <c r="L533" s="94"/>
      <c r="M533" s="94"/>
      <c r="N533" s="94"/>
      <c r="O533" s="94"/>
      <c r="P533" s="94"/>
      <c r="Q533" s="94"/>
      <c r="R533" s="94"/>
      <c r="S533" s="94"/>
      <c r="T533" s="94"/>
      <c r="U533" s="94"/>
      <c r="V533" s="94"/>
      <c r="W533" s="94"/>
      <c r="X533" s="94"/>
      <c r="Y533" s="38"/>
    </row>
    <row r="534" spans="1:25" ht="15.75" customHeight="1">
      <c r="A534" s="94"/>
      <c r="B534" s="94"/>
      <c r="C534" s="94"/>
      <c r="D534" s="94"/>
      <c r="E534" s="179"/>
      <c r="F534" s="94"/>
      <c r="G534" s="94"/>
      <c r="H534" s="94"/>
      <c r="I534" s="94"/>
      <c r="J534" s="94"/>
      <c r="K534" s="94"/>
      <c r="L534" s="94"/>
      <c r="M534" s="94"/>
      <c r="N534" s="94"/>
      <c r="O534" s="94"/>
      <c r="P534" s="94"/>
      <c r="Q534" s="94"/>
      <c r="R534" s="94"/>
      <c r="S534" s="94"/>
      <c r="T534" s="94"/>
      <c r="U534" s="94"/>
      <c r="V534" s="94"/>
      <c r="W534" s="94"/>
      <c r="X534" s="94"/>
      <c r="Y534" s="38"/>
    </row>
    <row r="535" spans="1:25" ht="15.75" customHeight="1">
      <c r="A535" s="94"/>
      <c r="B535" s="94"/>
      <c r="C535" s="94"/>
      <c r="D535" s="94"/>
      <c r="E535" s="179"/>
      <c r="F535" s="94"/>
      <c r="G535" s="94"/>
      <c r="H535" s="94"/>
      <c r="I535" s="94"/>
      <c r="J535" s="94"/>
      <c r="K535" s="94"/>
      <c r="L535" s="94"/>
      <c r="M535" s="94"/>
      <c r="N535" s="94"/>
      <c r="O535" s="94"/>
      <c r="P535" s="94"/>
      <c r="Q535" s="94"/>
      <c r="R535" s="94"/>
      <c r="S535" s="94"/>
      <c r="T535" s="94"/>
      <c r="U535" s="94"/>
      <c r="V535" s="94"/>
      <c r="W535" s="94"/>
      <c r="X535" s="94"/>
      <c r="Y535" s="38"/>
    </row>
    <row r="536" spans="1:25" ht="15.75" customHeight="1">
      <c r="A536" s="94"/>
      <c r="B536" s="94"/>
      <c r="C536" s="94"/>
      <c r="D536" s="94"/>
      <c r="E536" s="179"/>
      <c r="F536" s="94"/>
      <c r="G536" s="94"/>
      <c r="H536" s="94"/>
      <c r="I536" s="94"/>
      <c r="J536" s="94"/>
      <c r="K536" s="94"/>
      <c r="L536" s="94"/>
      <c r="M536" s="94"/>
      <c r="N536" s="94"/>
      <c r="O536" s="94"/>
      <c r="P536" s="94"/>
      <c r="Q536" s="94"/>
      <c r="R536" s="94"/>
      <c r="S536" s="94"/>
      <c r="T536" s="94"/>
      <c r="U536" s="94"/>
      <c r="V536" s="94"/>
      <c r="W536" s="94"/>
      <c r="X536" s="94"/>
      <c r="Y536" s="38"/>
    </row>
    <row r="537" spans="1:25" ht="15.75" customHeight="1">
      <c r="A537" s="94"/>
      <c r="B537" s="94"/>
      <c r="C537" s="94"/>
      <c r="D537" s="94"/>
      <c r="E537" s="179"/>
      <c r="F537" s="94"/>
      <c r="G537" s="94"/>
      <c r="H537" s="94"/>
      <c r="I537" s="94"/>
      <c r="J537" s="94"/>
      <c r="K537" s="94"/>
      <c r="L537" s="94"/>
      <c r="M537" s="94"/>
      <c r="N537" s="94"/>
      <c r="O537" s="94"/>
      <c r="P537" s="94"/>
      <c r="Q537" s="94"/>
      <c r="R537" s="94"/>
      <c r="S537" s="94"/>
      <c r="T537" s="94"/>
      <c r="U537" s="94"/>
      <c r="V537" s="94"/>
      <c r="W537" s="94"/>
      <c r="X537" s="94"/>
      <c r="Y537" s="38"/>
    </row>
    <row r="538" spans="1:25" ht="15.75" customHeight="1">
      <c r="A538" s="94"/>
      <c r="B538" s="94"/>
      <c r="C538" s="94"/>
      <c r="D538" s="94"/>
      <c r="E538" s="179"/>
      <c r="F538" s="94"/>
      <c r="G538" s="94"/>
      <c r="H538" s="94"/>
      <c r="I538" s="94"/>
      <c r="J538" s="94"/>
      <c r="K538" s="94"/>
      <c r="L538" s="94"/>
      <c r="M538" s="94"/>
      <c r="N538" s="94"/>
      <c r="O538" s="94"/>
      <c r="P538" s="94"/>
      <c r="Q538" s="94"/>
      <c r="R538" s="94"/>
      <c r="S538" s="94"/>
      <c r="T538" s="94"/>
      <c r="U538" s="94"/>
      <c r="V538" s="94"/>
      <c r="W538" s="94"/>
      <c r="X538" s="94"/>
      <c r="Y538" s="38"/>
    </row>
    <row r="539" spans="1:25" ht="15.75" customHeight="1">
      <c r="A539" s="94"/>
      <c r="B539" s="94"/>
      <c r="C539" s="94"/>
      <c r="D539" s="94"/>
      <c r="E539" s="179"/>
      <c r="F539" s="94"/>
      <c r="G539" s="94"/>
      <c r="H539" s="94"/>
      <c r="I539" s="94"/>
      <c r="J539" s="94"/>
      <c r="K539" s="94"/>
      <c r="L539" s="94"/>
      <c r="M539" s="94"/>
      <c r="N539" s="94"/>
      <c r="O539" s="94"/>
      <c r="P539" s="94"/>
      <c r="Q539" s="94"/>
      <c r="R539" s="94"/>
      <c r="S539" s="94"/>
      <c r="T539" s="94"/>
      <c r="U539" s="94"/>
      <c r="V539" s="94"/>
      <c r="W539" s="94"/>
      <c r="X539" s="94"/>
      <c r="Y539" s="38"/>
    </row>
    <row r="540" spans="1:25" ht="15.75" customHeight="1">
      <c r="A540" s="94"/>
      <c r="B540" s="94"/>
      <c r="C540" s="94"/>
      <c r="D540" s="94"/>
      <c r="E540" s="179"/>
      <c r="F540" s="94"/>
      <c r="G540" s="94"/>
      <c r="H540" s="94"/>
      <c r="I540" s="94"/>
      <c r="J540" s="94"/>
      <c r="K540" s="94"/>
      <c r="L540" s="94"/>
      <c r="M540" s="94"/>
      <c r="N540" s="94"/>
      <c r="O540" s="94"/>
      <c r="P540" s="94"/>
      <c r="Q540" s="94"/>
      <c r="R540" s="94"/>
      <c r="S540" s="94"/>
      <c r="T540" s="94"/>
      <c r="U540" s="94"/>
      <c r="V540" s="94"/>
      <c r="W540" s="94"/>
      <c r="X540" s="94"/>
      <c r="Y540" s="38"/>
    </row>
    <row r="541" spans="1:25" ht="15.75" customHeight="1">
      <c r="A541" s="94"/>
      <c r="B541" s="94"/>
      <c r="C541" s="94"/>
      <c r="D541" s="94"/>
      <c r="E541" s="179"/>
      <c r="F541" s="94"/>
      <c r="G541" s="94"/>
      <c r="H541" s="94"/>
      <c r="I541" s="94"/>
      <c r="J541" s="94"/>
      <c r="K541" s="94"/>
      <c r="L541" s="94"/>
      <c r="M541" s="94"/>
      <c r="N541" s="94"/>
      <c r="O541" s="94"/>
      <c r="P541" s="94"/>
      <c r="Q541" s="94"/>
      <c r="R541" s="94"/>
      <c r="S541" s="94"/>
      <c r="T541" s="94"/>
      <c r="U541" s="94"/>
      <c r="V541" s="94"/>
      <c r="W541" s="94"/>
      <c r="X541" s="94"/>
      <c r="Y541" s="38"/>
    </row>
    <row r="542" spans="1:25" ht="15.75" customHeight="1">
      <c r="A542" s="94"/>
      <c r="B542" s="94"/>
      <c r="C542" s="94"/>
      <c r="D542" s="94"/>
      <c r="E542" s="179"/>
      <c r="F542" s="94"/>
      <c r="G542" s="94"/>
      <c r="H542" s="94"/>
      <c r="I542" s="94"/>
      <c r="J542" s="94"/>
      <c r="K542" s="94"/>
      <c r="L542" s="94"/>
      <c r="M542" s="94"/>
      <c r="N542" s="94"/>
      <c r="O542" s="94"/>
      <c r="P542" s="94"/>
      <c r="Q542" s="94"/>
      <c r="R542" s="94"/>
      <c r="S542" s="94"/>
      <c r="T542" s="94"/>
      <c r="U542" s="94"/>
      <c r="V542" s="94"/>
      <c r="W542" s="94"/>
      <c r="X542" s="94"/>
      <c r="Y542" s="38"/>
    </row>
    <row r="543" spans="1:25" ht="15.75" customHeight="1">
      <c r="A543" s="94"/>
      <c r="B543" s="94"/>
      <c r="C543" s="94"/>
      <c r="D543" s="94"/>
      <c r="E543" s="179"/>
      <c r="F543" s="94"/>
      <c r="G543" s="94"/>
      <c r="H543" s="94"/>
      <c r="I543" s="94"/>
      <c r="J543" s="94"/>
      <c r="K543" s="94"/>
      <c r="L543" s="94"/>
      <c r="M543" s="94"/>
      <c r="N543" s="94"/>
      <c r="O543" s="94"/>
      <c r="P543" s="94"/>
      <c r="Q543" s="94"/>
      <c r="R543" s="94"/>
      <c r="S543" s="94"/>
      <c r="T543" s="94"/>
      <c r="U543" s="94"/>
      <c r="V543" s="94"/>
      <c r="W543" s="94"/>
      <c r="X543" s="94"/>
      <c r="Y543" s="38"/>
    </row>
    <row r="544" spans="1:25" ht="15.75" customHeight="1">
      <c r="A544" s="94"/>
      <c r="B544" s="94"/>
      <c r="C544" s="94"/>
      <c r="D544" s="94"/>
      <c r="E544" s="179"/>
      <c r="F544" s="94"/>
      <c r="G544" s="94"/>
      <c r="H544" s="94"/>
      <c r="I544" s="94"/>
      <c r="J544" s="94"/>
      <c r="K544" s="94"/>
      <c r="L544" s="94"/>
      <c r="M544" s="94"/>
      <c r="N544" s="94"/>
      <c r="O544" s="94"/>
      <c r="P544" s="94"/>
      <c r="Q544" s="94"/>
      <c r="R544" s="94"/>
      <c r="S544" s="94"/>
      <c r="T544" s="94"/>
      <c r="U544" s="94"/>
      <c r="V544" s="94"/>
      <c r="W544" s="94"/>
      <c r="X544" s="94"/>
      <c r="Y544" s="38"/>
    </row>
    <row r="545" spans="1:25" ht="15.75" customHeight="1">
      <c r="A545" s="94"/>
      <c r="B545" s="94"/>
      <c r="C545" s="94"/>
      <c r="D545" s="94"/>
      <c r="E545" s="179"/>
      <c r="F545" s="94"/>
      <c r="G545" s="94"/>
      <c r="H545" s="94"/>
      <c r="I545" s="94"/>
      <c r="J545" s="94"/>
      <c r="K545" s="94"/>
      <c r="L545" s="94"/>
      <c r="M545" s="94"/>
      <c r="N545" s="94"/>
      <c r="O545" s="94"/>
      <c r="P545" s="94"/>
      <c r="Q545" s="94"/>
      <c r="R545" s="94"/>
      <c r="S545" s="94"/>
      <c r="T545" s="94"/>
      <c r="U545" s="94"/>
      <c r="V545" s="94"/>
      <c r="W545" s="94"/>
      <c r="X545" s="94"/>
      <c r="Y545" s="38"/>
    </row>
    <row r="546" spans="1:25" ht="15.75" customHeight="1">
      <c r="A546" s="94"/>
      <c r="B546" s="94"/>
      <c r="C546" s="94"/>
      <c r="D546" s="94"/>
      <c r="E546" s="179"/>
      <c r="F546" s="94"/>
      <c r="G546" s="94"/>
      <c r="H546" s="94"/>
      <c r="I546" s="94"/>
      <c r="J546" s="94"/>
      <c r="K546" s="94"/>
      <c r="L546" s="94"/>
      <c r="M546" s="94"/>
      <c r="N546" s="94"/>
      <c r="O546" s="94"/>
      <c r="P546" s="94"/>
      <c r="Q546" s="94"/>
      <c r="R546" s="94"/>
      <c r="S546" s="94"/>
      <c r="T546" s="94"/>
      <c r="U546" s="94"/>
      <c r="V546" s="94"/>
      <c r="W546" s="94"/>
      <c r="X546" s="94"/>
      <c r="Y546" s="38"/>
    </row>
    <row r="547" spans="1:25" ht="15.75" customHeight="1">
      <c r="A547" s="94"/>
      <c r="B547" s="94"/>
      <c r="C547" s="94"/>
      <c r="D547" s="94"/>
      <c r="E547" s="179"/>
      <c r="F547" s="94"/>
      <c r="G547" s="94"/>
      <c r="H547" s="94"/>
      <c r="I547" s="94"/>
      <c r="J547" s="94"/>
      <c r="K547" s="94"/>
      <c r="L547" s="94"/>
      <c r="M547" s="94"/>
      <c r="N547" s="94"/>
      <c r="O547" s="94"/>
      <c r="P547" s="94"/>
      <c r="Q547" s="94"/>
      <c r="R547" s="94"/>
      <c r="S547" s="94"/>
      <c r="T547" s="94"/>
      <c r="U547" s="94"/>
      <c r="V547" s="94"/>
      <c r="W547" s="94"/>
      <c r="X547" s="94"/>
      <c r="Y547" s="38"/>
    </row>
    <row r="548" spans="1:25" ht="15.75" customHeight="1">
      <c r="A548" s="94"/>
      <c r="B548" s="94"/>
      <c r="C548" s="94"/>
      <c r="D548" s="94"/>
      <c r="E548" s="179"/>
      <c r="F548" s="94"/>
      <c r="G548" s="94"/>
      <c r="H548" s="94"/>
      <c r="I548" s="94"/>
      <c r="J548" s="94"/>
      <c r="K548" s="94"/>
      <c r="L548" s="94"/>
      <c r="M548" s="94"/>
      <c r="N548" s="94"/>
      <c r="O548" s="94"/>
      <c r="P548" s="94"/>
      <c r="Q548" s="94"/>
      <c r="R548" s="94"/>
      <c r="S548" s="94"/>
      <c r="T548" s="94"/>
      <c r="U548" s="94"/>
      <c r="V548" s="94"/>
      <c r="W548" s="94"/>
      <c r="X548" s="94"/>
      <c r="Y548" s="38"/>
    </row>
    <row r="549" spans="1:25" ht="15.75" customHeight="1">
      <c r="A549" s="94"/>
      <c r="B549" s="94"/>
      <c r="C549" s="94"/>
      <c r="D549" s="94"/>
      <c r="E549" s="179"/>
      <c r="F549" s="94"/>
      <c r="G549" s="94"/>
      <c r="H549" s="94"/>
      <c r="I549" s="94"/>
      <c r="J549" s="94"/>
      <c r="K549" s="94"/>
      <c r="L549" s="94"/>
      <c r="M549" s="94"/>
      <c r="N549" s="94"/>
      <c r="O549" s="94"/>
      <c r="P549" s="94"/>
      <c r="Q549" s="94"/>
      <c r="R549" s="94"/>
      <c r="S549" s="94"/>
      <c r="T549" s="94"/>
      <c r="U549" s="94"/>
      <c r="V549" s="94"/>
      <c r="W549" s="94"/>
      <c r="X549" s="94"/>
      <c r="Y549" s="38"/>
    </row>
    <row r="550" spans="1:25" ht="15.75" customHeight="1">
      <c r="A550" s="94"/>
      <c r="B550" s="94"/>
      <c r="C550" s="94"/>
      <c r="D550" s="94"/>
      <c r="E550" s="179"/>
      <c r="F550" s="94"/>
      <c r="G550" s="94"/>
      <c r="H550" s="94"/>
      <c r="I550" s="94"/>
      <c r="J550" s="94"/>
      <c r="K550" s="94"/>
      <c r="L550" s="94"/>
      <c r="M550" s="94"/>
      <c r="N550" s="94"/>
      <c r="O550" s="94"/>
      <c r="P550" s="94"/>
      <c r="Q550" s="94"/>
      <c r="R550" s="94"/>
      <c r="S550" s="94"/>
      <c r="T550" s="94"/>
      <c r="U550" s="94"/>
      <c r="V550" s="94"/>
      <c r="W550" s="94"/>
      <c r="X550" s="94"/>
      <c r="Y550" s="38"/>
    </row>
    <row r="551" spans="1:25" ht="15.75" customHeight="1">
      <c r="A551" s="94"/>
      <c r="B551" s="94"/>
      <c r="C551" s="94"/>
      <c r="D551" s="94"/>
      <c r="E551" s="179"/>
      <c r="F551" s="94"/>
      <c r="G551" s="94"/>
      <c r="H551" s="94"/>
      <c r="I551" s="94"/>
      <c r="J551" s="94"/>
      <c r="K551" s="94"/>
      <c r="L551" s="94"/>
      <c r="M551" s="94"/>
      <c r="N551" s="94"/>
      <c r="O551" s="94"/>
      <c r="P551" s="94"/>
      <c r="Q551" s="94"/>
      <c r="R551" s="94"/>
      <c r="S551" s="94"/>
      <c r="T551" s="94"/>
      <c r="U551" s="94"/>
      <c r="V551" s="94"/>
      <c r="W551" s="94"/>
      <c r="X551" s="94"/>
      <c r="Y551" s="38"/>
    </row>
    <row r="552" spans="1:25" ht="15.75" customHeight="1">
      <c r="A552" s="94"/>
      <c r="B552" s="94"/>
      <c r="C552" s="94"/>
      <c r="D552" s="94"/>
      <c r="E552" s="179"/>
      <c r="F552" s="94"/>
      <c r="G552" s="94"/>
      <c r="H552" s="94"/>
      <c r="I552" s="94"/>
      <c r="J552" s="94"/>
      <c r="K552" s="94"/>
      <c r="L552" s="94"/>
      <c r="M552" s="94"/>
      <c r="N552" s="94"/>
      <c r="O552" s="94"/>
      <c r="P552" s="94"/>
      <c r="Q552" s="94"/>
      <c r="R552" s="94"/>
      <c r="S552" s="94"/>
      <c r="T552" s="94"/>
      <c r="U552" s="94"/>
      <c r="V552" s="94"/>
      <c r="W552" s="94"/>
      <c r="X552" s="94"/>
      <c r="Y552" s="38"/>
    </row>
    <row r="553" spans="1:25" ht="15.75" customHeight="1">
      <c r="A553" s="94"/>
      <c r="B553" s="94"/>
      <c r="C553" s="94"/>
      <c r="D553" s="94"/>
      <c r="E553" s="179"/>
      <c r="F553" s="94"/>
      <c r="G553" s="94"/>
      <c r="H553" s="94"/>
      <c r="I553" s="94"/>
      <c r="J553" s="94"/>
      <c r="K553" s="94"/>
      <c r="L553" s="94"/>
      <c r="M553" s="94"/>
      <c r="N553" s="94"/>
      <c r="O553" s="94"/>
      <c r="P553" s="94"/>
      <c r="Q553" s="94"/>
      <c r="R553" s="94"/>
      <c r="S553" s="94"/>
      <c r="T553" s="94"/>
      <c r="U553" s="94"/>
      <c r="V553" s="94"/>
      <c r="W553" s="94"/>
      <c r="X553" s="94"/>
      <c r="Y553" s="38"/>
    </row>
    <row r="554" spans="1:25" ht="15.75" customHeight="1">
      <c r="A554" s="94"/>
      <c r="B554" s="94"/>
      <c r="C554" s="94"/>
      <c r="D554" s="94"/>
      <c r="E554" s="179"/>
      <c r="F554" s="94"/>
      <c r="G554" s="94"/>
      <c r="H554" s="94"/>
      <c r="I554" s="94"/>
      <c r="J554" s="94"/>
      <c r="K554" s="94"/>
      <c r="L554" s="94"/>
      <c r="M554" s="94"/>
      <c r="N554" s="94"/>
      <c r="O554" s="94"/>
      <c r="P554" s="94"/>
      <c r="Q554" s="94"/>
      <c r="R554" s="94"/>
      <c r="S554" s="94"/>
      <c r="T554" s="94"/>
      <c r="U554" s="94"/>
      <c r="V554" s="94"/>
      <c r="W554" s="94"/>
      <c r="X554" s="94"/>
      <c r="Y554" s="38"/>
    </row>
    <row r="555" spans="1:25" ht="15.75" customHeight="1">
      <c r="A555" s="94"/>
      <c r="B555" s="94"/>
      <c r="C555" s="94"/>
      <c r="D555" s="94"/>
      <c r="E555" s="179"/>
      <c r="F555" s="94"/>
      <c r="G555" s="94"/>
      <c r="H555" s="94"/>
      <c r="I555" s="94"/>
      <c r="J555" s="94"/>
      <c r="K555" s="94"/>
      <c r="L555" s="94"/>
      <c r="M555" s="94"/>
      <c r="N555" s="94"/>
      <c r="O555" s="94"/>
      <c r="P555" s="94"/>
      <c r="Q555" s="94"/>
      <c r="R555" s="94"/>
      <c r="S555" s="94"/>
      <c r="T555" s="94"/>
      <c r="U555" s="94"/>
      <c r="V555" s="94"/>
      <c r="W555" s="94"/>
      <c r="X555" s="94"/>
      <c r="Y555" s="38"/>
    </row>
    <row r="556" spans="1:25" ht="15.75" customHeight="1">
      <c r="A556" s="94"/>
      <c r="B556" s="94"/>
      <c r="C556" s="94"/>
      <c r="D556" s="94"/>
      <c r="E556" s="179"/>
      <c r="F556" s="94"/>
      <c r="G556" s="94"/>
      <c r="H556" s="94"/>
      <c r="I556" s="94"/>
      <c r="J556" s="94"/>
      <c r="K556" s="94"/>
      <c r="L556" s="94"/>
      <c r="M556" s="94"/>
      <c r="N556" s="94"/>
      <c r="O556" s="94"/>
      <c r="P556" s="94"/>
      <c r="Q556" s="94"/>
      <c r="R556" s="94"/>
      <c r="S556" s="94"/>
      <c r="T556" s="94"/>
      <c r="U556" s="94"/>
      <c r="V556" s="94"/>
      <c r="W556" s="94"/>
      <c r="X556" s="94"/>
      <c r="Y556" s="38"/>
    </row>
    <row r="557" spans="1:25" ht="15.75" customHeight="1">
      <c r="A557" s="94"/>
      <c r="B557" s="94"/>
      <c r="C557" s="94"/>
      <c r="D557" s="94"/>
      <c r="E557" s="179"/>
      <c r="F557" s="94"/>
      <c r="G557" s="94"/>
      <c r="H557" s="94"/>
      <c r="I557" s="94"/>
      <c r="J557" s="94"/>
      <c r="K557" s="94"/>
      <c r="L557" s="94"/>
      <c r="M557" s="94"/>
      <c r="N557" s="94"/>
      <c r="O557" s="94"/>
      <c r="P557" s="94"/>
      <c r="Q557" s="94"/>
      <c r="R557" s="94"/>
      <c r="S557" s="94"/>
      <c r="T557" s="94"/>
      <c r="U557" s="94"/>
      <c r="V557" s="94"/>
      <c r="W557" s="94"/>
      <c r="X557" s="94"/>
      <c r="Y557" s="38"/>
    </row>
    <row r="558" spans="1:25" ht="15.75" customHeight="1">
      <c r="A558" s="94"/>
      <c r="B558" s="94"/>
      <c r="C558" s="94"/>
      <c r="D558" s="94"/>
      <c r="E558" s="179"/>
      <c r="F558" s="94"/>
      <c r="G558" s="94"/>
      <c r="H558" s="94"/>
      <c r="I558" s="94"/>
      <c r="J558" s="94"/>
      <c r="K558" s="94"/>
      <c r="L558" s="94"/>
      <c r="M558" s="94"/>
      <c r="N558" s="94"/>
      <c r="O558" s="94"/>
      <c r="P558" s="94"/>
      <c r="Q558" s="94"/>
      <c r="R558" s="94"/>
      <c r="S558" s="94"/>
      <c r="T558" s="94"/>
      <c r="U558" s="94"/>
      <c r="V558" s="94"/>
      <c r="W558" s="94"/>
      <c r="X558" s="94"/>
      <c r="Y558" s="38"/>
    </row>
    <row r="559" spans="1:25" ht="15.75" customHeight="1">
      <c r="A559" s="94"/>
      <c r="B559" s="94"/>
      <c r="C559" s="94"/>
      <c r="D559" s="94"/>
      <c r="E559" s="179"/>
      <c r="F559" s="94"/>
      <c r="G559" s="94"/>
      <c r="H559" s="94"/>
      <c r="I559" s="94"/>
      <c r="J559" s="94"/>
      <c r="K559" s="94"/>
      <c r="L559" s="94"/>
      <c r="M559" s="94"/>
      <c r="N559" s="94"/>
      <c r="O559" s="94"/>
      <c r="P559" s="94"/>
      <c r="Q559" s="94"/>
      <c r="R559" s="94"/>
      <c r="S559" s="94"/>
      <c r="T559" s="94"/>
      <c r="U559" s="94"/>
      <c r="V559" s="94"/>
      <c r="W559" s="94"/>
      <c r="X559" s="94"/>
      <c r="Y559" s="38"/>
    </row>
    <row r="560" spans="1:25" ht="15.75" customHeight="1">
      <c r="A560" s="94"/>
      <c r="B560" s="94"/>
      <c r="C560" s="94"/>
      <c r="D560" s="94"/>
      <c r="E560" s="179"/>
      <c r="F560" s="94"/>
      <c r="G560" s="94"/>
      <c r="H560" s="94"/>
      <c r="I560" s="94"/>
      <c r="J560" s="94"/>
      <c r="K560" s="94"/>
      <c r="L560" s="94"/>
      <c r="M560" s="94"/>
      <c r="N560" s="94"/>
      <c r="O560" s="94"/>
      <c r="P560" s="94"/>
      <c r="Q560" s="94"/>
      <c r="R560" s="94"/>
      <c r="S560" s="94"/>
      <c r="T560" s="94"/>
      <c r="U560" s="94"/>
      <c r="V560" s="94"/>
      <c r="W560" s="94"/>
      <c r="X560" s="94"/>
      <c r="Y560" s="38"/>
    </row>
    <row r="561" spans="1:25" ht="15.75" customHeight="1">
      <c r="A561" s="94"/>
      <c r="B561" s="94"/>
      <c r="C561" s="94"/>
      <c r="D561" s="94"/>
      <c r="E561" s="179"/>
      <c r="F561" s="94"/>
      <c r="G561" s="94"/>
      <c r="H561" s="94"/>
      <c r="I561" s="94"/>
      <c r="J561" s="94"/>
      <c r="K561" s="94"/>
      <c r="L561" s="94"/>
      <c r="M561" s="94"/>
      <c r="N561" s="94"/>
      <c r="O561" s="94"/>
      <c r="P561" s="94"/>
      <c r="Q561" s="94"/>
      <c r="R561" s="94"/>
      <c r="S561" s="94"/>
      <c r="T561" s="94"/>
      <c r="U561" s="94"/>
      <c r="V561" s="94"/>
      <c r="W561" s="94"/>
      <c r="X561" s="94"/>
      <c r="Y561" s="38"/>
    </row>
    <row r="562" spans="1:25" ht="15.75" customHeight="1">
      <c r="A562" s="94"/>
      <c r="B562" s="94"/>
      <c r="C562" s="94"/>
      <c r="D562" s="94"/>
      <c r="E562" s="179"/>
      <c r="F562" s="94"/>
      <c r="G562" s="94"/>
      <c r="H562" s="94"/>
      <c r="I562" s="94"/>
      <c r="J562" s="94"/>
      <c r="K562" s="94"/>
      <c r="L562" s="94"/>
      <c r="M562" s="94"/>
      <c r="N562" s="94"/>
      <c r="O562" s="94"/>
      <c r="P562" s="94"/>
      <c r="Q562" s="94"/>
      <c r="R562" s="94"/>
      <c r="S562" s="94"/>
      <c r="T562" s="94"/>
      <c r="U562" s="94"/>
      <c r="V562" s="94"/>
      <c r="W562" s="94"/>
      <c r="X562" s="94"/>
      <c r="Y562" s="38"/>
    </row>
    <row r="563" spans="1:25" ht="15.75" customHeight="1">
      <c r="A563" s="94"/>
      <c r="B563" s="94"/>
      <c r="C563" s="94"/>
      <c r="D563" s="94"/>
      <c r="E563" s="179"/>
      <c r="F563" s="94"/>
      <c r="G563" s="94"/>
      <c r="H563" s="94"/>
      <c r="I563" s="94"/>
      <c r="J563" s="94"/>
      <c r="K563" s="94"/>
      <c r="L563" s="94"/>
      <c r="M563" s="94"/>
      <c r="N563" s="94"/>
      <c r="O563" s="94"/>
      <c r="P563" s="94"/>
      <c r="Q563" s="94"/>
      <c r="R563" s="94"/>
      <c r="S563" s="94"/>
      <c r="T563" s="94"/>
      <c r="U563" s="94"/>
      <c r="V563" s="94"/>
      <c r="W563" s="94"/>
      <c r="X563" s="94"/>
      <c r="Y563" s="38"/>
    </row>
    <row r="564" spans="1:25" ht="15.75" customHeight="1">
      <c r="A564" s="94"/>
      <c r="B564" s="94"/>
      <c r="C564" s="94"/>
      <c r="D564" s="94"/>
      <c r="E564" s="179"/>
      <c r="F564" s="94"/>
      <c r="G564" s="94"/>
      <c r="H564" s="94"/>
      <c r="I564" s="94"/>
      <c r="J564" s="94"/>
      <c r="K564" s="94"/>
      <c r="L564" s="94"/>
      <c r="M564" s="94"/>
      <c r="N564" s="94"/>
      <c r="O564" s="94"/>
      <c r="P564" s="94"/>
      <c r="Q564" s="94"/>
      <c r="R564" s="94"/>
      <c r="S564" s="94"/>
      <c r="T564" s="94"/>
      <c r="U564" s="94"/>
      <c r="V564" s="94"/>
      <c r="W564" s="94"/>
      <c r="X564" s="94"/>
      <c r="Y564" s="38"/>
    </row>
    <row r="565" spans="1:25" ht="15.75" customHeight="1">
      <c r="A565" s="94"/>
      <c r="B565" s="94"/>
      <c r="C565" s="94"/>
      <c r="D565" s="94"/>
      <c r="E565" s="179"/>
      <c r="F565" s="94"/>
      <c r="G565" s="94"/>
      <c r="H565" s="94"/>
      <c r="I565" s="94"/>
      <c r="J565" s="94"/>
      <c r="K565" s="94"/>
      <c r="L565" s="94"/>
      <c r="M565" s="94"/>
      <c r="N565" s="94"/>
      <c r="O565" s="94"/>
      <c r="P565" s="94"/>
      <c r="Q565" s="94"/>
      <c r="R565" s="94"/>
      <c r="S565" s="94"/>
      <c r="T565" s="94"/>
      <c r="U565" s="94"/>
      <c r="V565" s="94"/>
      <c r="W565" s="94"/>
      <c r="X565" s="94"/>
      <c r="Y565" s="38"/>
    </row>
    <row r="566" spans="1:25" ht="15.75" customHeight="1">
      <c r="A566" s="94"/>
      <c r="B566" s="94"/>
      <c r="C566" s="94"/>
      <c r="D566" s="94"/>
      <c r="E566" s="179"/>
      <c r="F566" s="94"/>
      <c r="G566" s="94"/>
      <c r="H566" s="94"/>
      <c r="I566" s="94"/>
      <c r="J566" s="94"/>
      <c r="K566" s="94"/>
      <c r="L566" s="94"/>
      <c r="M566" s="94"/>
      <c r="N566" s="94"/>
      <c r="O566" s="94"/>
      <c r="P566" s="94"/>
      <c r="Q566" s="94"/>
      <c r="R566" s="94"/>
      <c r="S566" s="94"/>
      <c r="T566" s="94"/>
      <c r="U566" s="94"/>
      <c r="V566" s="94"/>
      <c r="W566" s="94"/>
      <c r="X566" s="94"/>
      <c r="Y566" s="38"/>
    </row>
    <row r="567" spans="1:25" ht="15.75" customHeight="1">
      <c r="A567" s="94"/>
      <c r="B567" s="94"/>
      <c r="C567" s="94"/>
      <c r="D567" s="94"/>
      <c r="E567" s="179"/>
      <c r="F567" s="94"/>
      <c r="G567" s="94"/>
      <c r="H567" s="94"/>
      <c r="I567" s="94"/>
      <c r="J567" s="94"/>
      <c r="K567" s="94"/>
      <c r="L567" s="94"/>
      <c r="M567" s="94"/>
      <c r="N567" s="94"/>
      <c r="O567" s="94"/>
      <c r="P567" s="94"/>
      <c r="Q567" s="94"/>
      <c r="R567" s="94"/>
      <c r="S567" s="94"/>
      <c r="T567" s="94"/>
      <c r="U567" s="94"/>
      <c r="V567" s="94"/>
      <c r="W567" s="94"/>
      <c r="X567" s="94"/>
      <c r="Y567" s="38"/>
    </row>
    <row r="568" spans="1:25" ht="15.75" customHeight="1">
      <c r="A568" s="94"/>
      <c r="B568" s="94"/>
      <c r="C568" s="94"/>
      <c r="D568" s="94"/>
      <c r="E568" s="179"/>
      <c r="F568" s="94"/>
      <c r="G568" s="94"/>
      <c r="H568" s="94"/>
      <c r="I568" s="94"/>
      <c r="J568" s="94"/>
      <c r="K568" s="94"/>
      <c r="L568" s="94"/>
      <c r="M568" s="94"/>
      <c r="N568" s="94"/>
      <c r="O568" s="94"/>
      <c r="P568" s="94"/>
      <c r="Q568" s="94"/>
      <c r="R568" s="94"/>
      <c r="S568" s="94"/>
      <c r="T568" s="94"/>
      <c r="U568" s="94"/>
      <c r="V568" s="94"/>
      <c r="W568" s="94"/>
      <c r="X568" s="94"/>
      <c r="Y568" s="38"/>
    </row>
    <row r="569" spans="1:25" ht="15.75" customHeight="1">
      <c r="A569" s="94"/>
      <c r="B569" s="94"/>
      <c r="C569" s="94"/>
      <c r="D569" s="94"/>
      <c r="E569" s="179"/>
      <c r="F569" s="94"/>
      <c r="G569" s="94"/>
      <c r="H569" s="94"/>
      <c r="I569" s="94"/>
      <c r="J569" s="94"/>
      <c r="K569" s="94"/>
      <c r="L569" s="94"/>
      <c r="M569" s="94"/>
      <c r="N569" s="94"/>
      <c r="O569" s="94"/>
      <c r="P569" s="94"/>
      <c r="Q569" s="94"/>
      <c r="R569" s="94"/>
      <c r="S569" s="94"/>
      <c r="T569" s="94"/>
      <c r="U569" s="94"/>
      <c r="V569" s="94"/>
      <c r="W569" s="94"/>
      <c r="X569" s="94"/>
      <c r="Y569" s="38"/>
    </row>
    <row r="570" spans="1:25" ht="15.75" customHeight="1">
      <c r="A570" s="94"/>
      <c r="B570" s="94"/>
      <c r="C570" s="94"/>
      <c r="D570" s="94"/>
      <c r="E570" s="179"/>
      <c r="F570" s="94"/>
      <c r="G570" s="94"/>
      <c r="H570" s="94"/>
      <c r="I570" s="94"/>
      <c r="J570" s="94"/>
      <c r="K570" s="94"/>
      <c r="L570" s="94"/>
      <c r="M570" s="94"/>
      <c r="N570" s="94"/>
      <c r="O570" s="94"/>
      <c r="P570" s="94"/>
      <c r="Q570" s="94"/>
      <c r="R570" s="94"/>
      <c r="S570" s="94"/>
      <c r="T570" s="94"/>
      <c r="U570" s="94"/>
      <c r="V570" s="94"/>
      <c r="W570" s="94"/>
      <c r="X570" s="94"/>
      <c r="Y570" s="38"/>
    </row>
    <row r="571" spans="1:25" ht="15.75" customHeight="1">
      <c r="A571" s="94"/>
      <c r="B571" s="94"/>
      <c r="C571" s="94"/>
      <c r="D571" s="94"/>
      <c r="E571" s="179"/>
      <c r="F571" s="94"/>
      <c r="G571" s="94"/>
      <c r="H571" s="94"/>
      <c r="I571" s="94"/>
      <c r="J571" s="94"/>
      <c r="K571" s="94"/>
      <c r="L571" s="94"/>
      <c r="M571" s="94"/>
      <c r="N571" s="94"/>
      <c r="O571" s="94"/>
      <c r="P571" s="94"/>
      <c r="Q571" s="94"/>
      <c r="R571" s="94"/>
      <c r="S571" s="94"/>
      <c r="T571" s="94"/>
      <c r="U571" s="94"/>
      <c r="V571" s="94"/>
      <c r="W571" s="94"/>
      <c r="X571" s="94"/>
      <c r="Y571" s="38"/>
    </row>
    <row r="572" spans="1:25" ht="15.75" customHeight="1">
      <c r="A572" s="94"/>
      <c r="B572" s="94"/>
      <c r="C572" s="94"/>
      <c r="D572" s="94"/>
      <c r="E572" s="179"/>
      <c r="F572" s="94"/>
      <c r="G572" s="94"/>
      <c r="H572" s="94"/>
      <c r="I572" s="94"/>
      <c r="J572" s="94"/>
      <c r="K572" s="94"/>
      <c r="L572" s="94"/>
      <c r="M572" s="94"/>
      <c r="N572" s="94"/>
      <c r="O572" s="94"/>
      <c r="P572" s="94"/>
      <c r="Q572" s="94"/>
      <c r="R572" s="94"/>
      <c r="S572" s="94"/>
      <c r="T572" s="94"/>
      <c r="U572" s="94"/>
      <c r="V572" s="94"/>
      <c r="W572" s="94"/>
      <c r="X572" s="94"/>
      <c r="Y572" s="38"/>
    </row>
    <row r="573" spans="1:25" ht="15.75" customHeight="1">
      <c r="A573" s="94"/>
      <c r="B573" s="94"/>
      <c r="C573" s="94"/>
      <c r="D573" s="94"/>
      <c r="E573" s="179"/>
      <c r="F573" s="94"/>
      <c r="G573" s="94"/>
      <c r="H573" s="94"/>
      <c r="I573" s="94"/>
      <c r="J573" s="94"/>
      <c r="K573" s="94"/>
      <c r="L573" s="94"/>
      <c r="M573" s="94"/>
      <c r="N573" s="94"/>
      <c r="O573" s="94"/>
      <c r="P573" s="94"/>
      <c r="Q573" s="94"/>
      <c r="R573" s="94"/>
      <c r="S573" s="94"/>
      <c r="T573" s="94"/>
      <c r="U573" s="94"/>
      <c r="V573" s="94"/>
      <c r="W573" s="94"/>
      <c r="X573" s="94"/>
      <c r="Y573" s="38"/>
    </row>
    <row r="574" spans="1:25" ht="15.75" customHeight="1">
      <c r="A574" s="94"/>
      <c r="B574" s="94"/>
      <c r="C574" s="94"/>
      <c r="D574" s="94"/>
      <c r="E574" s="179"/>
      <c r="F574" s="94"/>
      <c r="G574" s="94"/>
      <c r="H574" s="94"/>
      <c r="I574" s="94"/>
      <c r="J574" s="94"/>
      <c r="K574" s="94"/>
      <c r="L574" s="94"/>
      <c r="M574" s="94"/>
      <c r="N574" s="94"/>
      <c r="O574" s="94"/>
      <c r="P574" s="94"/>
      <c r="Q574" s="94"/>
      <c r="R574" s="94"/>
      <c r="S574" s="94"/>
      <c r="T574" s="94"/>
      <c r="U574" s="94"/>
      <c r="V574" s="94"/>
      <c r="W574" s="94"/>
      <c r="X574" s="94"/>
      <c r="Y574" s="38"/>
    </row>
    <row r="575" spans="1:25" ht="15.75" customHeight="1">
      <c r="A575" s="94"/>
      <c r="B575" s="94"/>
      <c r="C575" s="94"/>
      <c r="D575" s="94"/>
      <c r="E575" s="179"/>
      <c r="F575" s="94"/>
      <c r="G575" s="94"/>
      <c r="H575" s="94"/>
      <c r="I575" s="94"/>
      <c r="J575" s="94"/>
      <c r="K575" s="94"/>
      <c r="L575" s="94"/>
      <c r="M575" s="94"/>
      <c r="N575" s="94"/>
      <c r="O575" s="94"/>
      <c r="P575" s="94"/>
      <c r="Q575" s="94"/>
      <c r="R575" s="94"/>
      <c r="S575" s="94"/>
      <c r="T575" s="94"/>
      <c r="U575" s="94"/>
      <c r="V575" s="94"/>
      <c r="W575" s="94"/>
      <c r="X575" s="94"/>
      <c r="Y575" s="38"/>
    </row>
    <row r="576" spans="1:25" ht="15.75" customHeight="1">
      <c r="A576" s="94"/>
      <c r="B576" s="94"/>
      <c r="C576" s="94"/>
      <c r="D576" s="94"/>
      <c r="E576" s="179"/>
      <c r="F576" s="94"/>
      <c r="G576" s="94"/>
      <c r="H576" s="94"/>
      <c r="I576" s="94"/>
      <c r="J576" s="94"/>
      <c r="K576" s="94"/>
      <c r="L576" s="94"/>
      <c r="M576" s="94"/>
      <c r="N576" s="94"/>
      <c r="O576" s="94"/>
      <c r="P576" s="94"/>
      <c r="Q576" s="94"/>
      <c r="R576" s="94"/>
      <c r="S576" s="94"/>
      <c r="T576" s="94"/>
      <c r="U576" s="94"/>
      <c r="V576" s="94"/>
      <c r="W576" s="94"/>
      <c r="X576" s="94"/>
      <c r="Y576" s="38"/>
    </row>
    <row r="577" spans="1:25" ht="15.75" customHeight="1">
      <c r="A577" s="94"/>
      <c r="B577" s="94"/>
      <c r="C577" s="94"/>
      <c r="D577" s="94"/>
      <c r="E577" s="179"/>
      <c r="F577" s="94"/>
      <c r="G577" s="94"/>
      <c r="H577" s="94"/>
      <c r="I577" s="94"/>
      <c r="J577" s="94"/>
      <c r="K577" s="94"/>
      <c r="L577" s="94"/>
      <c r="M577" s="94"/>
      <c r="N577" s="94"/>
      <c r="O577" s="94"/>
      <c r="P577" s="94"/>
      <c r="Q577" s="94"/>
      <c r="R577" s="94"/>
      <c r="S577" s="94"/>
      <c r="T577" s="94"/>
      <c r="U577" s="94"/>
      <c r="V577" s="94"/>
      <c r="W577" s="94"/>
      <c r="X577" s="94"/>
      <c r="Y577" s="38"/>
    </row>
    <row r="578" spans="1:25" ht="15.75" customHeight="1">
      <c r="A578" s="94"/>
      <c r="B578" s="94"/>
      <c r="C578" s="94"/>
      <c r="D578" s="94"/>
      <c r="E578" s="179"/>
      <c r="F578" s="94"/>
      <c r="G578" s="94"/>
      <c r="H578" s="94"/>
      <c r="I578" s="94"/>
      <c r="J578" s="94"/>
      <c r="K578" s="94"/>
      <c r="L578" s="94"/>
      <c r="M578" s="94"/>
      <c r="N578" s="94"/>
      <c r="O578" s="94"/>
      <c r="P578" s="94"/>
      <c r="Q578" s="94"/>
      <c r="R578" s="94"/>
      <c r="S578" s="94"/>
      <c r="T578" s="94"/>
      <c r="U578" s="94"/>
      <c r="V578" s="94"/>
      <c r="W578" s="94"/>
      <c r="X578" s="94"/>
      <c r="Y578" s="38"/>
    </row>
    <row r="579" spans="1:25" ht="15.75" customHeight="1">
      <c r="A579" s="94"/>
      <c r="B579" s="94"/>
      <c r="C579" s="94"/>
      <c r="D579" s="94"/>
      <c r="E579" s="179"/>
      <c r="F579" s="94"/>
      <c r="G579" s="94"/>
      <c r="H579" s="94"/>
      <c r="I579" s="94"/>
      <c r="J579" s="94"/>
      <c r="K579" s="94"/>
      <c r="L579" s="94"/>
      <c r="M579" s="94"/>
      <c r="N579" s="94"/>
      <c r="O579" s="94"/>
      <c r="P579" s="94"/>
      <c r="Q579" s="94"/>
      <c r="R579" s="94"/>
      <c r="S579" s="94"/>
      <c r="T579" s="94"/>
      <c r="U579" s="94"/>
      <c r="V579" s="94"/>
      <c r="W579" s="94"/>
      <c r="X579" s="94"/>
      <c r="Y579" s="38"/>
    </row>
    <row r="580" spans="1:25" ht="15.75" customHeight="1">
      <c r="A580" s="94"/>
      <c r="B580" s="94"/>
      <c r="C580" s="94"/>
      <c r="D580" s="94"/>
      <c r="E580" s="179"/>
      <c r="F580" s="94"/>
      <c r="G580" s="94"/>
      <c r="H580" s="94"/>
      <c r="I580" s="94"/>
      <c r="J580" s="94"/>
      <c r="K580" s="94"/>
      <c r="L580" s="94"/>
      <c r="M580" s="94"/>
      <c r="N580" s="94"/>
      <c r="O580" s="94"/>
      <c r="P580" s="94"/>
      <c r="Q580" s="94"/>
      <c r="R580" s="94"/>
      <c r="S580" s="94"/>
      <c r="T580" s="94"/>
      <c r="U580" s="94"/>
      <c r="V580" s="94"/>
      <c r="W580" s="94"/>
      <c r="X580" s="94"/>
      <c r="Y580" s="38"/>
    </row>
    <row r="581" spans="1:25" ht="15.75" customHeight="1">
      <c r="A581" s="94"/>
      <c r="B581" s="94"/>
      <c r="C581" s="94"/>
      <c r="D581" s="94"/>
      <c r="E581" s="179"/>
      <c r="F581" s="94"/>
      <c r="G581" s="94"/>
      <c r="H581" s="94"/>
      <c r="I581" s="94"/>
      <c r="J581" s="94"/>
      <c r="K581" s="94"/>
      <c r="L581" s="94"/>
      <c r="M581" s="94"/>
      <c r="N581" s="94"/>
      <c r="O581" s="94"/>
      <c r="P581" s="94"/>
      <c r="Q581" s="94"/>
      <c r="R581" s="94"/>
      <c r="S581" s="94"/>
      <c r="T581" s="94"/>
      <c r="U581" s="94"/>
      <c r="V581" s="94"/>
      <c r="W581" s="94"/>
      <c r="X581" s="94"/>
      <c r="Y581" s="38"/>
    </row>
    <row r="582" spans="1:25" ht="15.75" customHeight="1">
      <c r="A582" s="94"/>
      <c r="B582" s="94"/>
      <c r="C582" s="94"/>
      <c r="D582" s="94"/>
      <c r="E582" s="179"/>
      <c r="F582" s="94"/>
      <c r="G582" s="94"/>
      <c r="H582" s="94"/>
      <c r="I582" s="94"/>
      <c r="J582" s="94"/>
      <c r="K582" s="94"/>
      <c r="L582" s="94"/>
      <c r="M582" s="94"/>
      <c r="N582" s="94"/>
      <c r="O582" s="94"/>
      <c r="P582" s="94"/>
      <c r="Q582" s="94"/>
      <c r="R582" s="94"/>
      <c r="S582" s="94"/>
      <c r="T582" s="94"/>
      <c r="U582" s="94"/>
      <c r="V582" s="94"/>
      <c r="W582" s="94"/>
      <c r="X582" s="94"/>
      <c r="Y582" s="38"/>
    </row>
    <row r="583" spans="1:25" ht="15.75" customHeight="1">
      <c r="A583" s="94"/>
      <c r="B583" s="94"/>
      <c r="C583" s="94"/>
      <c r="D583" s="94"/>
      <c r="E583" s="179"/>
      <c r="F583" s="94"/>
      <c r="G583" s="94"/>
      <c r="H583" s="94"/>
      <c r="I583" s="94"/>
      <c r="J583" s="94"/>
      <c r="K583" s="94"/>
      <c r="L583" s="94"/>
      <c r="M583" s="94"/>
      <c r="N583" s="94"/>
      <c r="O583" s="94"/>
      <c r="P583" s="94"/>
      <c r="Q583" s="94"/>
      <c r="R583" s="94"/>
      <c r="S583" s="94"/>
      <c r="T583" s="94"/>
      <c r="U583" s="94"/>
      <c r="V583" s="94"/>
      <c r="W583" s="94"/>
      <c r="X583" s="94"/>
      <c r="Y583" s="38"/>
    </row>
    <row r="584" spans="1:25" ht="15.75" customHeight="1">
      <c r="A584" s="94"/>
      <c r="B584" s="94"/>
      <c r="C584" s="94"/>
      <c r="D584" s="94"/>
      <c r="E584" s="179"/>
      <c r="F584" s="94"/>
      <c r="G584" s="94"/>
      <c r="H584" s="94"/>
      <c r="I584" s="94"/>
      <c r="J584" s="94"/>
      <c r="K584" s="94"/>
      <c r="L584" s="94"/>
      <c r="M584" s="94"/>
      <c r="N584" s="94"/>
      <c r="O584" s="94"/>
      <c r="P584" s="94"/>
      <c r="Q584" s="94"/>
      <c r="R584" s="94"/>
      <c r="S584" s="94"/>
      <c r="T584" s="94"/>
      <c r="U584" s="94"/>
      <c r="V584" s="94"/>
      <c r="W584" s="94"/>
      <c r="X584" s="94"/>
      <c r="Y584" s="38"/>
    </row>
    <row r="585" spans="1:25" ht="15.75" customHeight="1">
      <c r="A585" s="94"/>
      <c r="B585" s="94"/>
      <c r="C585" s="94"/>
      <c r="D585" s="94"/>
      <c r="E585" s="179"/>
      <c r="F585" s="94"/>
      <c r="G585" s="94"/>
      <c r="H585" s="94"/>
      <c r="I585" s="94"/>
      <c r="J585" s="94"/>
      <c r="K585" s="94"/>
      <c r="L585" s="94"/>
      <c r="M585" s="94"/>
      <c r="N585" s="94"/>
      <c r="O585" s="94"/>
      <c r="P585" s="94"/>
      <c r="Q585" s="94"/>
      <c r="R585" s="94"/>
      <c r="S585" s="94"/>
      <c r="T585" s="94"/>
      <c r="U585" s="94"/>
      <c r="V585" s="94"/>
      <c r="W585" s="94"/>
      <c r="X585" s="94"/>
      <c r="Y585" s="38"/>
    </row>
    <row r="586" spans="1:25" ht="15.75" customHeight="1">
      <c r="A586" s="94"/>
      <c r="B586" s="94"/>
      <c r="C586" s="94"/>
      <c r="D586" s="94"/>
      <c r="E586" s="179"/>
      <c r="F586" s="94"/>
      <c r="G586" s="94"/>
      <c r="H586" s="94"/>
      <c r="I586" s="94"/>
      <c r="J586" s="94"/>
      <c r="K586" s="94"/>
      <c r="L586" s="94"/>
      <c r="M586" s="94"/>
      <c r="N586" s="94"/>
      <c r="O586" s="94"/>
      <c r="P586" s="94"/>
      <c r="Q586" s="94"/>
      <c r="R586" s="94"/>
      <c r="S586" s="94"/>
      <c r="T586" s="94"/>
      <c r="U586" s="94"/>
      <c r="V586" s="94"/>
      <c r="W586" s="94"/>
      <c r="X586" s="94"/>
      <c r="Y586" s="38"/>
    </row>
    <row r="587" spans="1:25" ht="15.75" customHeight="1">
      <c r="A587" s="94"/>
      <c r="B587" s="94"/>
      <c r="C587" s="94"/>
      <c r="D587" s="94"/>
      <c r="E587" s="179"/>
      <c r="F587" s="94"/>
      <c r="G587" s="94"/>
      <c r="H587" s="94"/>
      <c r="I587" s="94"/>
      <c r="J587" s="94"/>
      <c r="K587" s="94"/>
      <c r="L587" s="94"/>
      <c r="M587" s="94"/>
      <c r="N587" s="94"/>
      <c r="O587" s="94"/>
      <c r="P587" s="94"/>
      <c r="Q587" s="94"/>
      <c r="R587" s="94"/>
      <c r="S587" s="94"/>
      <c r="T587" s="94"/>
      <c r="U587" s="94"/>
      <c r="V587" s="94"/>
      <c r="W587" s="94"/>
      <c r="X587" s="94"/>
      <c r="Y587" s="38"/>
    </row>
    <row r="588" spans="1:25" ht="15.75" customHeight="1">
      <c r="A588" s="94"/>
      <c r="B588" s="94"/>
      <c r="C588" s="94"/>
      <c r="D588" s="94"/>
      <c r="E588" s="179"/>
      <c r="F588" s="94"/>
      <c r="G588" s="94"/>
      <c r="H588" s="94"/>
      <c r="I588" s="94"/>
      <c r="J588" s="94"/>
      <c r="K588" s="94"/>
      <c r="L588" s="94"/>
      <c r="M588" s="94"/>
      <c r="N588" s="94"/>
      <c r="O588" s="94"/>
      <c r="P588" s="94"/>
      <c r="Q588" s="94"/>
      <c r="R588" s="94"/>
      <c r="S588" s="94"/>
      <c r="T588" s="94"/>
      <c r="U588" s="94"/>
      <c r="V588" s="94"/>
      <c r="W588" s="94"/>
      <c r="X588" s="94"/>
      <c r="Y588" s="38"/>
    </row>
    <row r="589" spans="1:25" ht="15.75" customHeight="1">
      <c r="A589" s="94"/>
      <c r="B589" s="94"/>
      <c r="C589" s="94"/>
      <c r="D589" s="94"/>
      <c r="E589" s="179"/>
      <c r="F589" s="94"/>
      <c r="G589" s="94"/>
      <c r="H589" s="94"/>
      <c r="I589" s="94"/>
      <c r="J589" s="94"/>
      <c r="K589" s="94"/>
      <c r="L589" s="94"/>
      <c r="M589" s="94"/>
      <c r="N589" s="94"/>
      <c r="O589" s="94"/>
      <c r="P589" s="94"/>
      <c r="Q589" s="94"/>
      <c r="R589" s="94"/>
      <c r="S589" s="94"/>
      <c r="T589" s="94"/>
      <c r="U589" s="94"/>
      <c r="V589" s="94"/>
      <c r="W589" s="94"/>
      <c r="X589" s="94"/>
      <c r="Y589" s="38"/>
    </row>
    <row r="590" spans="1:25" ht="15.75" customHeight="1">
      <c r="A590" s="94"/>
      <c r="B590" s="94"/>
      <c r="C590" s="94"/>
      <c r="D590" s="94"/>
      <c r="E590" s="179"/>
      <c r="F590" s="94"/>
      <c r="G590" s="94"/>
      <c r="H590" s="94"/>
      <c r="I590" s="94"/>
      <c r="J590" s="94"/>
      <c r="K590" s="94"/>
      <c r="L590" s="94"/>
      <c r="M590" s="94"/>
      <c r="N590" s="94"/>
      <c r="O590" s="94"/>
      <c r="P590" s="94"/>
      <c r="Q590" s="94"/>
      <c r="R590" s="94"/>
      <c r="S590" s="94"/>
      <c r="T590" s="94"/>
      <c r="U590" s="94"/>
      <c r="V590" s="94"/>
      <c r="W590" s="94"/>
      <c r="X590" s="94"/>
      <c r="Y590" s="38"/>
    </row>
    <row r="591" spans="1:25" ht="15.75" customHeight="1">
      <c r="A591" s="94"/>
      <c r="B591" s="94"/>
      <c r="C591" s="94"/>
      <c r="D591" s="94"/>
      <c r="E591" s="179"/>
      <c r="F591" s="94"/>
      <c r="G591" s="94"/>
      <c r="H591" s="94"/>
      <c r="I591" s="94"/>
      <c r="J591" s="94"/>
      <c r="K591" s="94"/>
      <c r="L591" s="94"/>
      <c r="M591" s="94"/>
      <c r="N591" s="94"/>
      <c r="O591" s="94"/>
      <c r="P591" s="94"/>
      <c r="Q591" s="94"/>
      <c r="R591" s="94"/>
      <c r="S591" s="94"/>
      <c r="T591" s="94"/>
      <c r="U591" s="94"/>
      <c r="V591" s="94"/>
      <c r="W591" s="94"/>
      <c r="X591" s="94"/>
      <c r="Y591" s="38"/>
    </row>
    <row r="592" spans="1:25" ht="15.75" customHeight="1">
      <c r="A592" s="94"/>
      <c r="B592" s="94"/>
      <c r="C592" s="94"/>
      <c r="D592" s="94"/>
      <c r="E592" s="179"/>
      <c r="F592" s="94"/>
      <c r="G592" s="94"/>
      <c r="H592" s="94"/>
      <c r="I592" s="94"/>
      <c r="J592" s="94"/>
      <c r="K592" s="94"/>
      <c r="L592" s="94"/>
      <c r="M592" s="94"/>
      <c r="N592" s="94"/>
      <c r="O592" s="94"/>
      <c r="P592" s="94"/>
      <c r="Q592" s="94"/>
      <c r="R592" s="94"/>
      <c r="S592" s="94"/>
      <c r="T592" s="94"/>
      <c r="U592" s="94"/>
      <c r="V592" s="94"/>
      <c r="W592" s="94"/>
      <c r="X592" s="94"/>
      <c r="Y592" s="38"/>
    </row>
    <row r="593" spans="1:25" ht="15.75" customHeight="1">
      <c r="A593" s="94"/>
      <c r="B593" s="94"/>
      <c r="C593" s="94"/>
      <c r="D593" s="94"/>
      <c r="E593" s="179"/>
      <c r="F593" s="94"/>
      <c r="G593" s="94"/>
      <c r="H593" s="94"/>
      <c r="I593" s="94"/>
      <c r="J593" s="94"/>
      <c r="K593" s="94"/>
      <c r="L593" s="94"/>
      <c r="M593" s="94"/>
      <c r="N593" s="94"/>
      <c r="O593" s="94"/>
      <c r="P593" s="94"/>
      <c r="Q593" s="94"/>
      <c r="R593" s="94"/>
      <c r="S593" s="94"/>
      <c r="T593" s="94"/>
      <c r="U593" s="94"/>
      <c r="V593" s="94"/>
      <c r="W593" s="94"/>
      <c r="X593" s="94"/>
      <c r="Y593" s="38"/>
    </row>
    <row r="594" spans="1:25" ht="15.75" customHeight="1">
      <c r="A594" s="94"/>
      <c r="B594" s="94"/>
      <c r="C594" s="94"/>
      <c r="D594" s="94"/>
      <c r="E594" s="179"/>
      <c r="F594" s="94"/>
      <c r="G594" s="94"/>
      <c r="H594" s="94"/>
      <c r="I594" s="94"/>
      <c r="J594" s="94"/>
      <c r="K594" s="94"/>
      <c r="L594" s="94"/>
      <c r="M594" s="94"/>
      <c r="N594" s="94"/>
      <c r="O594" s="94"/>
      <c r="P594" s="94"/>
      <c r="Q594" s="94"/>
      <c r="R594" s="94"/>
      <c r="S594" s="94"/>
      <c r="T594" s="94"/>
      <c r="U594" s="94"/>
      <c r="V594" s="94"/>
      <c r="W594" s="94"/>
      <c r="X594" s="94"/>
      <c r="Y594" s="38"/>
    </row>
    <row r="595" spans="1:25" ht="15.75" customHeight="1">
      <c r="A595" s="94"/>
      <c r="B595" s="94"/>
      <c r="C595" s="94"/>
      <c r="D595" s="94"/>
      <c r="E595" s="179"/>
      <c r="F595" s="94"/>
      <c r="G595" s="94"/>
      <c r="H595" s="94"/>
      <c r="I595" s="94"/>
      <c r="J595" s="94"/>
      <c r="K595" s="94"/>
      <c r="L595" s="94"/>
      <c r="M595" s="94"/>
      <c r="N595" s="94"/>
      <c r="O595" s="94"/>
      <c r="P595" s="94"/>
      <c r="Q595" s="94"/>
      <c r="R595" s="94"/>
      <c r="S595" s="94"/>
      <c r="T595" s="94"/>
      <c r="U595" s="94"/>
      <c r="V595" s="94"/>
      <c r="W595" s="94"/>
      <c r="X595" s="94"/>
      <c r="Y595" s="38"/>
    </row>
    <row r="596" spans="1:25" ht="15.75" customHeight="1">
      <c r="A596" s="94"/>
      <c r="B596" s="94"/>
      <c r="C596" s="94"/>
      <c r="D596" s="94"/>
      <c r="E596" s="179"/>
      <c r="F596" s="94"/>
      <c r="G596" s="94"/>
      <c r="H596" s="94"/>
      <c r="I596" s="94"/>
      <c r="J596" s="94"/>
      <c r="K596" s="94"/>
      <c r="L596" s="94"/>
      <c r="M596" s="94"/>
      <c r="N596" s="94"/>
      <c r="O596" s="94"/>
      <c r="P596" s="94"/>
      <c r="Q596" s="94"/>
      <c r="R596" s="94"/>
      <c r="S596" s="94"/>
      <c r="T596" s="94"/>
      <c r="U596" s="94"/>
      <c r="V596" s="94"/>
      <c r="W596" s="94"/>
      <c r="X596" s="94"/>
      <c r="Y596" s="38"/>
    </row>
    <row r="597" spans="1:25" ht="15.75" customHeight="1">
      <c r="A597" s="94"/>
      <c r="B597" s="94"/>
      <c r="C597" s="94"/>
      <c r="D597" s="94"/>
      <c r="E597" s="179"/>
      <c r="F597" s="94"/>
      <c r="G597" s="94"/>
      <c r="H597" s="94"/>
      <c r="I597" s="94"/>
      <c r="J597" s="94"/>
      <c r="K597" s="94"/>
      <c r="L597" s="94"/>
      <c r="M597" s="94"/>
      <c r="N597" s="94"/>
      <c r="O597" s="94"/>
      <c r="P597" s="94"/>
      <c r="Q597" s="94"/>
      <c r="R597" s="94"/>
      <c r="S597" s="94"/>
      <c r="T597" s="94"/>
      <c r="U597" s="94"/>
      <c r="V597" s="94"/>
      <c r="W597" s="94"/>
      <c r="X597" s="94"/>
      <c r="Y597" s="38"/>
    </row>
    <row r="598" spans="1:25" ht="15.75" customHeight="1">
      <c r="A598" s="94"/>
      <c r="B598" s="94"/>
      <c r="C598" s="94"/>
      <c r="D598" s="94"/>
      <c r="E598" s="179"/>
      <c r="F598" s="94"/>
      <c r="G598" s="94"/>
      <c r="H598" s="94"/>
      <c r="I598" s="94"/>
      <c r="J598" s="94"/>
      <c r="K598" s="94"/>
      <c r="L598" s="94"/>
      <c r="M598" s="94"/>
      <c r="N598" s="94"/>
      <c r="O598" s="94"/>
      <c r="P598" s="94"/>
      <c r="Q598" s="94"/>
      <c r="R598" s="94"/>
      <c r="S598" s="94"/>
      <c r="T598" s="94"/>
      <c r="U598" s="94"/>
      <c r="V598" s="94"/>
      <c r="W598" s="94"/>
      <c r="X598" s="94"/>
      <c r="Y598" s="38"/>
    </row>
    <row r="599" spans="1:25" ht="15.75" customHeight="1">
      <c r="A599" s="94"/>
      <c r="B599" s="94"/>
      <c r="C599" s="94"/>
      <c r="D599" s="94"/>
      <c r="E599" s="179"/>
      <c r="F599" s="94"/>
      <c r="G599" s="94"/>
      <c r="H599" s="94"/>
      <c r="I599" s="94"/>
      <c r="J599" s="94"/>
      <c r="K599" s="94"/>
      <c r="L599" s="94"/>
      <c r="M599" s="94"/>
      <c r="N599" s="94"/>
      <c r="O599" s="94"/>
      <c r="P599" s="94"/>
      <c r="Q599" s="94"/>
      <c r="R599" s="94"/>
      <c r="S599" s="94"/>
      <c r="T599" s="94"/>
      <c r="U599" s="94"/>
      <c r="V599" s="94"/>
      <c r="W599" s="94"/>
      <c r="X599" s="94"/>
      <c r="Y599" s="38"/>
    </row>
    <row r="600" spans="1:25" ht="15.75" customHeight="1">
      <c r="A600" s="94"/>
      <c r="B600" s="94"/>
      <c r="C600" s="94"/>
      <c r="D600" s="94"/>
      <c r="E600" s="179"/>
      <c r="F600" s="94"/>
      <c r="G600" s="94"/>
      <c r="H600" s="94"/>
      <c r="I600" s="94"/>
      <c r="J600" s="94"/>
      <c r="K600" s="94"/>
      <c r="L600" s="94"/>
      <c r="M600" s="94"/>
      <c r="N600" s="94"/>
      <c r="O600" s="94"/>
      <c r="P600" s="94"/>
      <c r="Q600" s="94"/>
      <c r="R600" s="94"/>
      <c r="S600" s="94"/>
      <c r="T600" s="94"/>
      <c r="U600" s="94"/>
      <c r="V600" s="94"/>
      <c r="W600" s="94"/>
      <c r="X600" s="94"/>
      <c r="Y600" s="38"/>
    </row>
    <row r="601" spans="1:25" ht="15.75" customHeight="1">
      <c r="A601" s="94"/>
      <c r="B601" s="94"/>
      <c r="C601" s="94"/>
      <c r="D601" s="94"/>
      <c r="E601" s="179"/>
      <c r="F601" s="94"/>
      <c r="G601" s="94"/>
      <c r="H601" s="94"/>
      <c r="I601" s="94"/>
      <c r="J601" s="94"/>
      <c r="K601" s="94"/>
      <c r="L601" s="94"/>
      <c r="M601" s="94"/>
      <c r="N601" s="94"/>
      <c r="O601" s="94"/>
      <c r="P601" s="94"/>
      <c r="Q601" s="94"/>
      <c r="R601" s="94"/>
      <c r="S601" s="94"/>
      <c r="T601" s="94"/>
      <c r="U601" s="94"/>
      <c r="V601" s="94"/>
      <c r="W601" s="94"/>
      <c r="X601" s="94"/>
      <c r="Y601" s="38"/>
    </row>
    <row r="602" spans="1:25" ht="15.75" customHeight="1">
      <c r="A602" s="94"/>
      <c r="B602" s="94"/>
      <c r="C602" s="94"/>
      <c r="D602" s="94"/>
      <c r="E602" s="179"/>
      <c r="F602" s="94"/>
      <c r="G602" s="94"/>
      <c r="H602" s="94"/>
      <c r="I602" s="94"/>
      <c r="J602" s="94"/>
      <c r="K602" s="94"/>
      <c r="L602" s="94"/>
      <c r="M602" s="94"/>
      <c r="N602" s="94"/>
      <c r="O602" s="94"/>
      <c r="P602" s="94"/>
      <c r="Q602" s="94"/>
      <c r="R602" s="94"/>
      <c r="S602" s="94"/>
      <c r="T602" s="94"/>
      <c r="U602" s="94"/>
      <c r="V602" s="94"/>
      <c r="W602" s="94"/>
      <c r="X602" s="94"/>
      <c r="Y602" s="38"/>
    </row>
    <row r="603" spans="1:25" ht="15.75" customHeight="1">
      <c r="A603" s="94"/>
      <c r="B603" s="94"/>
      <c r="C603" s="94"/>
      <c r="D603" s="94"/>
      <c r="E603" s="179"/>
      <c r="F603" s="94"/>
      <c r="G603" s="94"/>
      <c r="H603" s="94"/>
      <c r="I603" s="94"/>
      <c r="J603" s="94"/>
      <c r="K603" s="94"/>
      <c r="L603" s="94"/>
      <c r="M603" s="94"/>
      <c r="N603" s="94"/>
      <c r="O603" s="94"/>
      <c r="P603" s="94"/>
      <c r="Q603" s="94"/>
      <c r="R603" s="94"/>
      <c r="S603" s="94"/>
      <c r="T603" s="94"/>
      <c r="U603" s="94"/>
      <c r="V603" s="94"/>
      <c r="W603" s="94"/>
      <c r="X603" s="94"/>
      <c r="Y603" s="38"/>
    </row>
    <row r="604" spans="1:25" ht="15.75" customHeight="1">
      <c r="A604" s="94"/>
      <c r="B604" s="94"/>
      <c r="C604" s="94"/>
      <c r="D604" s="94"/>
      <c r="E604" s="179"/>
      <c r="F604" s="94"/>
      <c r="G604" s="94"/>
      <c r="H604" s="94"/>
      <c r="I604" s="94"/>
      <c r="J604" s="94"/>
      <c r="K604" s="94"/>
      <c r="L604" s="94"/>
      <c r="M604" s="94"/>
      <c r="N604" s="94"/>
      <c r="O604" s="94"/>
      <c r="P604" s="94"/>
      <c r="Q604" s="94"/>
      <c r="R604" s="94"/>
      <c r="S604" s="94"/>
      <c r="T604" s="94"/>
      <c r="U604" s="94"/>
      <c r="V604" s="94"/>
      <c r="W604" s="94"/>
      <c r="X604" s="94"/>
      <c r="Y604" s="38"/>
    </row>
    <row r="605" spans="1:25" ht="15.75" customHeight="1">
      <c r="A605" s="94"/>
      <c r="B605" s="94"/>
      <c r="C605" s="94"/>
      <c r="D605" s="94"/>
      <c r="E605" s="179"/>
      <c r="F605" s="94"/>
      <c r="G605" s="94"/>
      <c r="H605" s="94"/>
      <c r="I605" s="94"/>
      <c r="J605" s="94"/>
      <c r="K605" s="94"/>
      <c r="L605" s="94"/>
      <c r="M605" s="94"/>
      <c r="N605" s="94"/>
      <c r="O605" s="94"/>
      <c r="P605" s="94"/>
      <c r="Q605" s="94"/>
      <c r="R605" s="94"/>
      <c r="S605" s="94"/>
      <c r="T605" s="94"/>
      <c r="U605" s="94"/>
      <c r="V605" s="94"/>
      <c r="W605" s="94"/>
      <c r="X605" s="94"/>
      <c r="Y605" s="38"/>
    </row>
    <row r="606" spans="1:25" ht="15.75" customHeight="1">
      <c r="A606" s="94"/>
      <c r="B606" s="94"/>
      <c r="C606" s="94"/>
      <c r="D606" s="94"/>
      <c r="E606" s="179"/>
      <c r="F606" s="94"/>
      <c r="G606" s="94"/>
      <c r="H606" s="94"/>
      <c r="I606" s="94"/>
      <c r="J606" s="94"/>
      <c r="K606" s="94"/>
      <c r="L606" s="94"/>
      <c r="M606" s="94"/>
      <c r="N606" s="94"/>
      <c r="O606" s="94"/>
      <c r="P606" s="94"/>
      <c r="Q606" s="94"/>
      <c r="R606" s="94"/>
      <c r="S606" s="94"/>
      <c r="T606" s="94"/>
      <c r="U606" s="94"/>
      <c r="V606" s="94"/>
      <c r="W606" s="94"/>
      <c r="X606" s="94"/>
      <c r="Y606" s="38"/>
    </row>
    <row r="607" spans="1:25" ht="15.75" customHeight="1">
      <c r="A607" s="94"/>
      <c r="B607" s="94"/>
      <c r="C607" s="94"/>
      <c r="D607" s="94"/>
      <c r="E607" s="179"/>
      <c r="F607" s="94"/>
      <c r="G607" s="94"/>
      <c r="H607" s="94"/>
      <c r="I607" s="94"/>
      <c r="J607" s="94"/>
      <c r="K607" s="94"/>
      <c r="L607" s="94"/>
      <c r="M607" s="94"/>
      <c r="N607" s="94"/>
      <c r="O607" s="94"/>
      <c r="P607" s="94"/>
      <c r="Q607" s="94"/>
      <c r="R607" s="94"/>
      <c r="S607" s="94"/>
      <c r="T607" s="94"/>
      <c r="U607" s="94"/>
      <c r="V607" s="94"/>
      <c r="W607" s="94"/>
      <c r="X607" s="94"/>
      <c r="Y607" s="38"/>
    </row>
    <row r="608" spans="1:25" ht="15.75" customHeight="1">
      <c r="A608" s="94"/>
      <c r="B608" s="94"/>
      <c r="C608" s="94"/>
      <c r="D608" s="94"/>
      <c r="E608" s="179"/>
      <c r="F608" s="94"/>
      <c r="G608" s="94"/>
      <c r="H608" s="94"/>
      <c r="I608" s="94"/>
      <c r="J608" s="94"/>
      <c r="K608" s="94"/>
      <c r="L608" s="94"/>
      <c r="M608" s="94"/>
      <c r="N608" s="94"/>
      <c r="O608" s="94"/>
      <c r="P608" s="94"/>
      <c r="Q608" s="94"/>
      <c r="R608" s="94"/>
      <c r="S608" s="94"/>
      <c r="T608" s="94"/>
      <c r="U608" s="94"/>
      <c r="V608" s="94"/>
      <c r="W608" s="94"/>
      <c r="X608" s="94"/>
      <c r="Y608" s="38"/>
    </row>
    <row r="609" spans="1:25" ht="15.75" customHeight="1">
      <c r="A609" s="94"/>
      <c r="B609" s="94"/>
      <c r="C609" s="94"/>
      <c r="D609" s="94"/>
      <c r="E609" s="179"/>
      <c r="F609" s="94"/>
      <c r="G609" s="94"/>
      <c r="H609" s="94"/>
      <c r="I609" s="94"/>
      <c r="J609" s="94"/>
      <c r="K609" s="94"/>
      <c r="L609" s="94"/>
      <c r="M609" s="94"/>
      <c r="N609" s="94"/>
      <c r="O609" s="94"/>
      <c r="P609" s="94"/>
      <c r="Q609" s="94"/>
      <c r="R609" s="94"/>
      <c r="S609" s="94"/>
      <c r="T609" s="94"/>
      <c r="U609" s="94"/>
      <c r="V609" s="94"/>
      <c r="W609" s="94"/>
      <c r="X609" s="94"/>
      <c r="Y609" s="38"/>
    </row>
    <row r="610" spans="1:25" ht="15.75" customHeight="1">
      <c r="A610" s="94"/>
      <c r="B610" s="94"/>
      <c r="C610" s="94"/>
      <c r="D610" s="94"/>
      <c r="E610" s="179"/>
      <c r="F610" s="94"/>
      <c r="G610" s="94"/>
      <c r="H610" s="94"/>
      <c r="I610" s="94"/>
      <c r="J610" s="94"/>
      <c r="K610" s="94"/>
      <c r="L610" s="94"/>
      <c r="M610" s="94"/>
      <c r="N610" s="94"/>
      <c r="O610" s="94"/>
      <c r="P610" s="94"/>
      <c r="Q610" s="94"/>
      <c r="R610" s="94"/>
      <c r="S610" s="94"/>
      <c r="T610" s="94"/>
      <c r="U610" s="94"/>
      <c r="V610" s="94"/>
      <c r="W610" s="94"/>
      <c r="X610" s="94"/>
      <c r="Y610" s="38"/>
    </row>
    <row r="611" spans="1:25" ht="15.75" customHeight="1">
      <c r="A611" s="94"/>
      <c r="B611" s="94"/>
      <c r="C611" s="94"/>
      <c r="D611" s="94"/>
      <c r="E611" s="179"/>
      <c r="F611" s="94"/>
      <c r="G611" s="94"/>
      <c r="H611" s="94"/>
      <c r="I611" s="94"/>
      <c r="J611" s="94"/>
      <c r="K611" s="94"/>
      <c r="L611" s="94"/>
      <c r="M611" s="94"/>
      <c r="N611" s="94"/>
      <c r="O611" s="94"/>
      <c r="P611" s="94"/>
      <c r="Q611" s="94"/>
      <c r="R611" s="94"/>
      <c r="S611" s="94"/>
      <c r="T611" s="94"/>
      <c r="U611" s="94"/>
      <c r="V611" s="94"/>
      <c r="W611" s="94"/>
      <c r="X611" s="94"/>
      <c r="Y611" s="38"/>
    </row>
    <row r="612" spans="1:25" ht="15.75" customHeight="1">
      <c r="A612" s="94"/>
      <c r="B612" s="94"/>
      <c r="C612" s="94"/>
      <c r="D612" s="94"/>
      <c r="E612" s="179"/>
      <c r="F612" s="94"/>
      <c r="G612" s="94"/>
      <c r="H612" s="94"/>
      <c r="I612" s="94"/>
      <c r="J612" s="94"/>
      <c r="K612" s="94"/>
      <c r="L612" s="94"/>
      <c r="M612" s="94"/>
      <c r="N612" s="94"/>
      <c r="O612" s="94"/>
      <c r="P612" s="94"/>
      <c r="Q612" s="94"/>
      <c r="R612" s="94"/>
      <c r="S612" s="94"/>
      <c r="T612" s="94"/>
      <c r="U612" s="94"/>
      <c r="V612" s="94"/>
      <c r="W612" s="94"/>
      <c r="X612" s="94"/>
      <c r="Y612" s="38"/>
    </row>
    <row r="613" spans="1:25" ht="15.75" customHeight="1">
      <c r="A613" s="94"/>
      <c r="B613" s="94"/>
      <c r="C613" s="94"/>
      <c r="D613" s="94"/>
      <c r="E613" s="179"/>
      <c r="F613" s="94"/>
      <c r="G613" s="94"/>
      <c r="H613" s="94"/>
      <c r="I613" s="94"/>
      <c r="J613" s="94"/>
      <c r="K613" s="94"/>
      <c r="L613" s="94"/>
      <c r="M613" s="94"/>
      <c r="N613" s="94"/>
      <c r="O613" s="94"/>
      <c r="P613" s="94"/>
      <c r="Q613" s="94"/>
      <c r="R613" s="94"/>
      <c r="S613" s="94"/>
      <c r="T613" s="94"/>
      <c r="U613" s="94"/>
      <c r="V613" s="94"/>
      <c r="W613" s="94"/>
      <c r="X613" s="94"/>
      <c r="Y613" s="38"/>
    </row>
    <row r="614" spans="1:25" ht="15.75" customHeight="1">
      <c r="A614" s="94"/>
      <c r="B614" s="94"/>
      <c r="C614" s="94"/>
      <c r="D614" s="94"/>
      <c r="E614" s="179"/>
      <c r="F614" s="94"/>
      <c r="G614" s="94"/>
      <c r="H614" s="94"/>
      <c r="I614" s="94"/>
      <c r="J614" s="94"/>
      <c r="K614" s="94"/>
      <c r="L614" s="94"/>
      <c r="M614" s="94"/>
      <c r="N614" s="94"/>
      <c r="O614" s="94"/>
      <c r="P614" s="94"/>
      <c r="Q614" s="94"/>
      <c r="R614" s="94"/>
      <c r="S614" s="94"/>
      <c r="T614" s="94"/>
      <c r="U614" s="94"/>
      <c r="V614" s="94"/>
      <c r="W614" s="94"/>
      <c r="X614" s="94"/>
      <c r="Y614" s="38"/>
    </row>
    <row r="615" spans="1:25" ht="15.75" customHeight="1">
      <c r="A615" s="94"/>
      <c r="B615" s="94"/>
      <c r="C615" s="94"/>
      <c r="D615" s="94"/>
      <c r="E615" s="179"/>
      <c r="F615" s="94"/>
      <c r="G615" s="94"/>
      <c r="H615" s="94"/>
      <c r="I615" s="94"/>
      <c r="J615" s="94"/>
      <c r="K615" s="94"/>
      <c r="L615" s="94"/>
      <c r="M615" s="94"/>
      <c r="N615" s="94"/>
      <c r="O615" s="94"/>
      <c r="P615" s="94"/>
      <c r="Q615" s="94"/>
      <c r="R615" s="94"/>
      <c r="S615" s="94"/>
      <c r="T615" s="94"/>
      <c r="U615" s="94"/>
      <c r="V615" s="94"/>
      <c r="W615" s="94"/>
      <c r="X615" s="94"/>
      <c r="Y615" s="38"/>
    </row>
    <row r="616" spans="1:25" ht="15.75" customHeight="1">
      <c r="A616" s="94"/>
      <c r="B616" s="94"/>
      <c r="C616" s="94"/>
      <c r="D616" s="94"/>
      <c r="E616" s="179"/>
      <c r="F616" s="94"/>
      <c r="G616" s="94"/>
      <c r="H616" s="94"/>
      <c r="I616" s="94"/>
      <c r="J616" s="94"/>
      <c r="K616" s="94"/>
      <c r="L616" s="94"/>
      <c r="M616" s="94"/>
      <c r="N616" s="94"/>
      <c r="O616" s="94"/>
      <c r="P616" s="94"/>
      <c r="Q616" s="94"/>
      <c r="R616" s="94"/>
      <c r="S616" s="94"/>
      <c r="T616" s="94"/>
      <c r="U616" s="94"/>
      <c r="V616" s="94"/>
      <c r="W616" s="94"/>
      <c r="X616" s="94"/>
      <c r="Y616" s="38"/>
    </row>
    <row r="617" spans="1:25" ht="15.75" customHeight="1">
      <c r="A617" s="94"/>
      <c r="B617" s="94"/>
      <c r="C617" s="94"/>
      <c r="D617" s="94"/>
      <c r="E617" s="179"/>
      <c r="F617" s="94"/>
      <c r="G617" s="94"/>
      <c r="H617" s="94"/>
      <c r="I617" s="94"/>
      <c r="J617" s="94"/>
      <c r="K617" s="94"/>
      <c r="L617" s="94"/>
      <c r="M617" s="94"/>
      <c r="N617" s="94"/>
      <c r="O617" s="94"/>
      <c r="P617" s="94"/>
      <c r="Q617" s="94"/>
      <c r="R617" s="94"/>
      <c r="S617" s="94"/>
      <c r="T617" s="94"/>
      <c r="U617" s="94"/>
      <c r="V617" s="94"/>
      <c r="W617" s="94"/>
      <c r="X617" s="94"/>
      <c r="Y617" s="38"/>
    </row>
    <row r="618" spans="1:25" ht="15.75" customHeight="1">
      <c r="A618" s="94"/>
      <c r="B618" s="94"/>
      <c r="C618" s="94"/>
      <c r="D618" s="94"/>
      <c r="E618" s="179"/>
      <c r="F618" s="94"/>
      <c r="G618" s="94"/>
      <c r="H618" s="94"/>
      <c r="I618" s="94"/>
      <c r="J618" s="94"/>
      <c r="K618" s="94"/>
      <c r="L618" s="94"/>
      <c r="M618" s="94"/>
      <c r="N618" s="94"/>
      <c r="O618" s="94"/>
      <c r="P618" s="94"/>
      <c r="Q618" s="94"/>
      <c r="R618" s="94"/>
      <c r="S618" s="94"/>
      <c r="T618" s="94"/>
      <c r="U618" s="94"/>
      <c r="V618" s="94"/>
      <c r="W618" s="94"/>
      <c r="X618" s="94"/>
      <c r="Y618" s="38"/>
    </row>
    <row r="619" spans="1:25" ht="15.75" customHeight="1">
      <c r="A619" s="94"/>
      <c r="B619" s="94"/>
      <c r="C619" s="94"/>
      <c r="D619" s="94"/>
      <c r="E619" s="179"/>
      <c r="F619" s="94"/>
      <c r="G619" s="94"/>
      <c r="H619" s="94"/>
      <c r="I619" s="94"/>
      <c r="J619" s="94"/>
      <c r="K619" s="94"/>
      <c r="L619" s="94"/>
      <c r="M619" s="94"/>
      <c r="N619" s="94"/>
      <c r="O619" s="94"/>
      <c r="P619" s="94"/>
      <c r="Q619" s="94"/>
      <c r="R619" s="94"/>
      <c r="S619" s="94"/>
      <c r="T619" s="94"/>
      <c r="U619" s="94"/>
      <c r="V619" s="94"/>
      <c r="W619" s="94"/>
      <c r="X619" s="94"/>
      <c r="Y619" s="38"/>
    </row>
    <row r="620" spans="1:25" ht="15.75" customHeight="1">
      <c r="A620" s="94"/>
      <c r="B620" s="94"/>
      <c r="C620" s="94"/>
      <c r="D620" s="94"/>
      <c r="E620" s="179"/>
      <c r="F620" s="94"/>
      <c r="G620" s="94"/>
      <c r="H620" s="94"/>
      <c r="I620" s="94"/>
      <c r="J620" s="94"/>
      <c r="K620" s="94"/>
      <c r="L620" s="94"/>
      <c r="M620" s="94"/>
      <c r="N620" s="94"/>
      <c r="O620" s="94"/>
      <c r="P620" s="94"/>
      <c r="Q620" s="94"/>
      <c r="R620" s="94"/>
      <c r="S620" s="94"/>
      <c r="T620" s="94"/>
      <c r="U620" s="94"/>
      <c r="V620" s="94"/>
      <c r="W620" s="94"/>
      <c r="X620" s="94"/>
      <c r="Y620" s="38"/>
    </row>
    <row r="621" spans="1:25" ht="15.75" customHeight="1">
      <c r="A621" s="94"/>
      <c r="B621" s="94"/>
      <c r="C621" s="94"/>
      <c r="D621" s="94"/>
      <c r="E621" s="179"/>
      <c r="F621" s="94"/>
      <c r="G621" s="94"/>
      <c r="H621" s="94"/>
      <c r="I621" s="94"/>
      <c r="J621" s="94"/>
      <c r="K621" s="94"/>
      <c r="L621" s="94"/>
      <c r="M621" s="94"/>
      <c r="N621" s="94"/>
      <c r="O621" s="94"/>
      <c r="P621" s="94"/>
      <c r="Q621" s="94"/>
      <c r="R621" s="94"/>
      <c r="S621" s="94"/>
      <c r="T621" s="94"/>
      <c r="U621" s="94"/>
      <c r="V621" s="94"/>
      <c r="W621" s="94"/>
      <c r="X621" s="94"/>
      <c r="Y621" s="38"/>
    </row>
    <row r="622" spans="1:25" ht="15.75" customHeight="1">
      <c r="A622" s="94"/>
      <c r="B622" s="94"/>
      <c r="C622" s="94"/>
      <c r="D622" s="94"/>
      <c r="E622" s="179"/>
      <c r="F622" s="94"/>
      <c r="G622" s="94"/>
      <c r="H622" s="94"/>
      <c r="I622" s="94"/>
      <c r="J622" s="94"/>
      <c r="K622" s="94"/>
      <c r="L622" s="94"/>
      <c r="M622" s="94"/>
      <c r="N622" s="94"/>
      <c r="O622" s="94"/>
      <c r="P622" s="94"/>
      <c r="Q622" s="94"/>
      <c r="R622" s="94"/>
      <c r="S622" s="94"/>
      <c r="T622" s="94"/>
      <c r="U622" s="94"/>
      <c r="V622" s="94"/>
      <c r="W622" s="94"/>
      <c r="X622" s="94"/>
      <c r="Y622" s="38"/>
    </row>
    <row r="623" spans="1:25" ht="15.75" customHeight="1">
      <c r="A623" s="94"/>
      <c r="B623" s="94"/>
      <c r="C623" s="94"/>
      <c r="D623" s="94"/>
      <c r="E623" s="179"/>
      <c r="F623" s="94"/>
      <c r="G623" s="94"/>
      <c r="H623" s="94"/>
      <c r="I623" s="94"/>
      <c r="J623" s="94"/>
      <c r="K623" s="94"/>
      <c r="L623" s="94"/>
      <c r="M623" s="94"/>
      <c r="N623" s="94"/>
      <c r="O623" s="94"/>
      <c r="P623" s="94"/>
      <c r="Q623" s="94"/>
      <c r="R623" s="94"/>
      <c r="S623" s="94"/>
      <c r="T623" s="94"/>
      <c r="U623" s="94"/>
      <c r="V623" s="94"/>
      <c r="W623" s="94"/>
      <c r="X623" s="94"/>
      <c r="Y623" s="38"/>
    </row>
    <row r="624" spans="1:25" ht="15.75" customHeight="1">
      <c r="A624" s="94"/>
      <c r="B624" s="94"/>
      <c r="C624" s="94"/>
      <c r="D624" s="94"/>
      <c r="E624" s="179"/>
      <c r="F624" s="94"/>
      <c r="G624" s="94"/>
      <c r="H624" s="94"/>
      <c r="I624" s="94"/>
      <c r="J624" s="94"/>
      <c r="K624" s="94"/>
      <c r="L624" s="94"/>
      <c r="M624" s="94"/>
      <c r="N624" s="94"/>
      <c r="O624" s="94"/>
      <c r="P624" s="94"/>
      <c r="Q624" s="94"/>
      <c r="R624" s="94"/>
      <c r="S624" s="94"/>
      <c r="T624" s="94"/>
      <c r="U624" s="94"/>
      <c r="V624" s="94"/>
      <c r="W624" s="94"/>
      <c r="X624" s="94"/>
      <c r="Y624" s="38"/>
    </row>
    <row r="625" spans="1:25" ht="15.75" customHeight="1">
      <c r="A625" s="94"/>
      <c r="B625" s="94"/>
      <c r="C625" s="94"/>
      <c r="D625" s="94"/>
      <c r="E625" s="179"/>
      <c r="F625" s="94"/>
      <c r="G625" s="94"/>
      <c r="H625" s="94"/>
      <c r="I625" s="94"/>
      <c r="J625" s="94"/>
      <c r="K625" s="94"/>
      <c r="L625" s="94"/>
      <c r="M625" s="94"/>
      <c r="N625" s="94"/>
      <c r="O625" s="94"/>
      <c r="P625" s="94"/>
      <c r="Q625" s="94"/>
      <c r="R625" s="94"/>
      <c r="S625" s="94"/>
      <c r="T625" s="94"/>
      <c r="U625" s="94"/>
      <c r="V625" s="94"/>
      <c r="W625" s="94"/>
      <c r="X625" s="94"/>
      <c r="Y625" s="38"/>
    </row>
    <row r="626" spans="1:25" ht="15.75" customHeight="1">
      <c r="A626" s="94"/>
      <c r="B626" s="94"/>
      <c r="C626" s="94"/>
      <c r="D626" s="94"/>
      <c r="E626" s="179"/>
      <c r="F626" s="94"/>
      <c r="G626" s="94"/>
      <c r="H626" s="94"/>
      <c r="I626" s="94"/>
      <c r="J626" s="94"/>
      <c r="K626" s="94"/>
      <c r="L626" s="94"/>
      <c r="M626" s="94"/>
      <c r="N626" s="94"/>
      <c r="O626" s="94"/>
      <c r="P626" s="94"/>
      <c r="Q626" s="94"/>
      <c r="R626" s="94"/>
      <c r="S626" s="94"/>
      <c r="T626" s="94"/>
      <c r="U626" s="94"/>
      <c r="V626" s="94"/>
      <c r="W626" s="94"/>
      <c r="X626" s="94"/>
      <c r="Y626" s="38"/>
    </row>
    <row r="627" spans="1:25" ht="15.75" customHeight="1">
      <c r="A627" s="94"/>
      <c r="B627" s="94"/>
      <c r="C627" s="94"/>
      <c r="D627" s="94"/>
      <c r="E627" s="179"/>
      <c r="F627" s="94"/>
      <c r="G627" s="94"/>
      <c r="H627" s="94"/>
      <c r="I627" s="94"/>
      <c r="J627" s="94"/>
      <c r="K627" s="94"/>
      <c r="L627" s="94"/>
      <c r="M627" s="94"/>
      <c r="N627" s="94"/>
      <c r="O627" s="94"/>
      <c r="P627" s="94"/>
      <c r="Q627" s="94"/>
      <c r="R627" s="94"/>
      <c r="S627" s="94"/>
      <c r="T627" s="94"/>
      <c r="U627" s="94"/>
      <c r="V627" s="94"/>
      <c r="W627" s="94"/>
      <c r="X627" s="94"/>
      <c r="Y627" s="38"/>
    </row>
    <row r="628" spans="1:25" ht="15.75" customHeight="1">
      <c r="A628" s="94"/>
      <c r="B628" s="94"/>
      <c r="C628" s="94"/>
      <c r="D628" s="94"/>
      <c r="E628" s="179"/>
      <c r="F628" s="94"/>
      <c r="G628" s="94"/>
      <c r="H628" s="94"/>
      <c r="I628" s="94"/>
      <c r="J628" s="94"/>
      <c r="K628" s="94"/>
      <c r="L628" s="94"/>
      <c r="M628" s="94"/>
      <c r="N628" s="94"/>
      <c r="O628" s="94"/>
      <c r="P628" s="94"/>
      <c r="Q628" s="94"/>
      <c r="R628" s="94"/>
      <c r="S628" s="94"/>
      <c r="T628" s="94"/>
      <c r="U628" s="94"/>
      <c r="V628" s="94"/>
      <c r="W628" s="94"/>
      <c r="X628" s="94"/>
      <c r="Y628" s="38"/>
    </row>
    <row r="629" spans="1:25" ht="15.75" customHeight="1">
      <c r="A629" s="94"/>
      <c r="B629" s="94"/>
      <c r="C629" s="94"/>
      <c r="D629" s="94"/>
      <c r="E629" s="179"/>
      <c r="F629" s="94"/>
      <c r="G629" s="94"/>
      <c r="H629" s="94"/>
      <c r="I629" s="94"/>
      <c r="J629" s="94"/>
      <c r="K629" s="94"/>
      <c r="L629" s="94"/>
      <c r="M629" s="94"/>
      <c r="N629" s="94"/>
      <c r="O629" s="94"/>
      <c r="P629" s="94"/>
      <c r="Q629" s="94"/>
      <c r="R629" s="94"/>
      <c r="S629" s="94"/>
      <c r="T629" s="94"/>
      <c r="U629" s="94"/>
      <c r="V629" s="94"/>
      <c r="W629" s="94"/>
      <c r="X629" s="94"/>
      <c r="Y629" s="38"/>
    </row>
    <row r="630" spans="1:25" ht="15.75" customHeight="1">
      <c r="A630" s="94"/>
      <c r="B630" s="94"/>
      <c r="C630" s="94"/>
      <c r="D630" s="94"/>
      <c r="E630" s="179"/>
      <c r="F630" s="94"/>
      <c r="G630" s="94"/>
      <c r="H630" s="94"/>
      <c r="I630" s="94"/>
      <c r="J630" s="94"/>
      <c r="K630" s="94"/>
      <c r="L630" s="94"/>
      <c r="M630" s="94"/>
      <c r="N630" s="94"/>
      <c r="O630" s="94"/>
      <c r="P630" s="94"/>
      <c r="Q630" s="94"/>
      <c r="R630" s="94"/>
      <c r="S630" s="94"/>
      <c r="T630" s="94"/>
      <c r="U630" s="94"/>
      <c r="V630" s="94"/>
      <c r="W630" s="94"/>
      <c r="X630" s="94"/>
      <c r="Y630" s="38"/>
    </row>
    <row r="631" spans="1:25" ht="15.75" customHeight="1">
      <c r="A631" s="94"/>
      <c r="B631" s="94"/>
      <c r="C631" s="94"/>
      <c r="D631" s="94"/>
      <c r="E631" s="179"/>
      <c r="F631" s="94"/>
      <c r="G631" s="94"/>
      <c r="H631" s="94"/>
      <c r="I631" s="94"/>
      <c r="J631" s="94"/>
      <c r="K631" s="94"/>
      <c r="L631" s="94"/>
      <c r="M631" s="94"/>
      <c r="N631" s="94"/>
      <c r="O631" s="94"/>
      <c r="P631" s="94"/>
      <c r="Q631" s="94"/>
      <c r="R631" s="94"/>
      <c r="S631" s="94"/>
      <c r="T631" s="94"/>
      <c r="U631" s="94"/>
      <c r="V631" s="94"/>
      <c r="W631" s="94"/>
      <c r="X631" s="94"/>
      <c r="Y631" s="38"/>
    </row>
    <row r="632" spans="1:25" ht="15.75" customHeight="1">
      <c r="A632" s="94"/>
      <c r="B632" s="94"/>
      <c r="C632" s="94"/>
      <c r="D632" s="94"/>
      <c r="E632" s="179"/>
      <c r="F632" s="94"/>
      <c r="G632" s="94"/>
      <c r="H632" s="94"/>
      <c r="I632" s="94"/>
      <c r="J632" s="94"/>
      <c r="K632" s="94"/>
      <c r="L632" s="94"/>
      <c r="M632" s="94"/>
      <c r="N632" s="94"/>
      <c r="O632" s="94"/>
      <c r="P632" s="94"/>
      <c r="Q632" s="94"/>
      <c r="R632" s="94"/>
      <c r="S632" s="94"/>
      <c r="T632" s="94"/>
      <c r="U632" s="94"/>
      <c r="V632" s="94"/>
      <c r="W632" s="94"/>
      <c r="X632" s="94"/>
      <c r="Y632" s="38"/>
    </row>
    <row r="633" spans="1:25" ht="15.75" customHeight="1">
      <c r="A633" s="94"/>
      <c r="B633" s="94"/>
      <c r="C633" s="94"/>
      <c r="D633" s="94"/>
      <c r="E633" s="179"/>
      <c r="F633" s="94"/>
      <c r="G633" s="94"/>
      <c r="H633" s="94"/>
      <c r="I633" s="94"/>
      <c r="J633" s="94"/>
      <c r="K633" s="94"/>
      <c r="L633" s="94"/>
      <c r="M633" s="94"/>
      <c r="N633" s="94"/>
      <c r="O633" s="94"/>
      <c r="P633" s="94"/>
      <c r="Q633" s="94"/>
      <c r="R633" s="94"/>
      <c r="S633" s="94"/>
      <c r="T633" s="94"/>
      <c r="U633" s="94"/>
      <c r="V633" s="94"/>
      <c r="W633" s="94"/>
      <c r="X633" s="94"/>
      <c r="Y633" s="38"/>
    </row>
    <row r="634" spans="1:25" ht="15.75" customHeight="1">
      <c r="A634" s="94"/>
      <c r="B634" s="94"/>
      <c r="C634" s="94"/>
      <c r="D634" s="94"/>
      <c r="E634" s="179"/>
      <c r="F634" s="94"/>
      <c r="G634" s="94"/>
      <c r="H634" s="94"/>
      <c r="I634" s="94"/>
      <c r="J634" s="94"/>
      <c r="K634" s="94"/>
      <c r="L634" s="94"/>
      <c r="M634" s="94"/>
      <c r="N634" s="94"/>
      <c r="O634" s="94"/>
      <c r="P634" s="94"/>
      <c r="Q634" s="94"/>
      <c r="R634" s="94"/>
      <c r="S634" s="94"/>
      <c r="T634" s="94"/>
      <c r="U634" s="94"/>
      <c r="V634" s="94"/>
      <c r="W634" s="94"/>
      <c r="X634" s="94"/>
      <c r="Y634" s="38"/>
    </row>
    <row r="635" spans="1:25" ht="15.75" customHeight="1">
      <c r="A635" s="94"/>
      <c r="B635" s="94"/>
      <c r="C635" s="94"/>
      <c r="D635" s="94"/>
      <c r="E635" s="179"/>
      <c r="F635" s="94"/>
      <c r="G635" s="94"/>
      <c r="H635" s="94"/>
      <c r="I635" s="94"/>
      <c r="J635" s="94"/>
      <c r="K635" s="94"/>
      <c r="L635" s="94"/>
      <c r="M635" s="94"/>
      <c r="N635" s="94"/>
      <c r="O635" s="94"/>
      <c r="P635" s="94"/>
      <c r="Q635" s="94"/>
      <c r="R635" s="94"/>
      <c r="S635" s="94"/>
      <c r="T635" s="94"/>
      <c r="U635" s="94"/>
      <c r="V635" s="94"/>
      <c r="W635" s="94"/>
      <c r="X635" s="94"/>
      <c r="Y635" s="38"/>
    </row>
    <row r="636" spans="1:25" ht="15.75" customHeight="1">
      <c r="A636" s="94"/>
      <c r="B636" s="94"/>
      <c r="C636" s="94"/>
      <c r="D636" s="94"/>
      <c r="E636" s="179"/>
      <c r="F636" s="94"/>
      <c r="G636" s="94"/>
      <c r="H636" s="94"/>
      <c r="I636" s="94"/>
      <c r="J636" s="94"/>
      <c r="K636" s="94"/>
      <c r="L636" s="94"/>
      <c r="M636" s="94"/>
      <c r="N636" s="94"/>
      <c r="O636" s="94"/>
      <c r="P636" s="94"/>
      <c r="Q636" s="94"/>
      <c r="R636" s="94"/>
      <c r="S636" s="94"/>
      <c r="T636" s="94"/>
      <c r="U636" s="94"/>
      <c r="V636" s="94"/>
      <c r="W636" s="94"/>
      <c r="X636" s="94"/>
      <c r="Y636" s="38"/>
    </row>
    <row r="637" spans="1:25" ht="15.75" customHeight="1">
      <c r="A637" s="94"/>
      <c r="B637" s="94"/>
      <c r="C637" s="94"/>
      <c r="D637" s="94"/>
      <c r="E637" s="179"/>
      <c r="F637" s="94"/>
      <c r="G637" s="94"/>
      <c r="H637" s="94"/>
      <c r="I637" s="94"/>
      <c r="J637" s="94"/>
      <c r="K637" s="94"/>
      <c r="L637" s="94"/>
      <c r="M637" s="94"/>
      <c r="N637" s="94"/>
      <c r="O637" s="94"/>
      <c r="P637" s="94"/>
      <c r="Q637" s="94"/>
      <c r="R637" s="94"/>
      <c r="S637" s="94"/>
      <c r="T637" s="94"/>
      <c r="U637" s="94"/>
      <c r="V637" s="94"/>
      <c r="W637" s="94"/>
      <c r="X637" s="94"/>
      <c r="Y637" s="38"/>
    </row>
    <row r="638" spans="1:25" ht="15.75" customHeight="1">
      <c r="A638" s="94"/>
      <c r="B638" s="94"/>
      <c r="C638" s="94"/>
      <c r="D638" s="94"/>
      <c r="E638" s="179"/>
      <c r="F638" s="94"/>
      <c r="G638" s="94"/>
      <c r="H638" s="94"/>
      <c r="I638" s="94"/>
      <c r="J638" s="94"/>
      <c r="K638" s="94"/>
      <c r="L638" s="94"/>
      <c r="M638" s="94"/>
      <c r="N638" s="94"/>
      <c r="O638" s="94"/>
      <c r="P638" s="94"/>
      <c r="Q638" s="94"/>
      <c r="R638" s="94"/>
      <c r="S638" s="94"/>
      <c r="T638" s="94"/>
      <c r="U638" s="94"/>
      <c r="V638" s="94"/>
      <c r="W638" s="94"/>
      <c r="X638" s="94"/>
      <c r="Y638" s="38"/>
    </row>
    <row r="639" spans="1:25" ht="15.75" customHeight="1">
      <c r="A639" s="94"/>
      <c r="B639" s="94"/>
      <c r="C639" s="94"/>
      <c r="D639" s="94"/>
      <c r="E639" s="179"/>
      <c r="F639" s="94"/>
      <c r="G639" s="94"/>
      <c r="H639" s="94"/>
      <c r="I639" s="94"/>
      <c r="J639" s="94"/>
      <c r="K639" s="94"/>
      <c r="L639" s="94"/>
      <c r="M639" s="94"/>
      <c r="N639" s="94"/>
      <c r="O639" s="94"/>
      <c r="P639" s="94"/>
      <c r="Q639" s="94"/>
      <c r="R639" s="94"/>
      <c r="S639" s="94"/>
      <c r="T639" s="94"/>
      <c r="U639" s="94"/>
      <c r="V639" s="94"/>
      <c r="W639" s="94"/>
      <c r="X639" s="94"/>
      <c r="Y639" s="38"/>
    </row>
    <row r="640" spans="1:25" ht="15.75" customHeight="1">
      <c r="A640" s="94"/>
      <c r="B640" s="94"/>
      <c r="C640" s="94"/>
      <c r="D640" s="94"/>
      <c r="E640" s="179"/>
      <c r="F640" s="94"/>
      <c r="G640" s="94"/>
      <c r="H640" s="94"/>
      <c r="I640" s="94"/>
      <c r="J640" s="94"/>
      <c r="K640" s="94"/>
      <c r="L640" s="94"/>
      <c r="M640" s="94"/>
      <c r="N640" s="94"/>
      <c r="O640" s="94"/>
      <c r="P640" s="94"/>
      <c r="Q640" s="94"/>
      <c r="R640" s="94"/>
      <c r="S640" s="94"/>
      <c r="T640" s="94"/>
      <c r="U640" s="94"/>
      <c r="V640" s="94"/>
      <c r="W640" s="94"/>
      <c r="X640" s="94"/>
      <c r="Y640" s="38"/>
    </row>
    <row r="641" spans="1:25" ht="15.75" customHeight="1">
      <c r="A641" s="94"/>
      <c r="B641" s="94"/>
      <c r="C641" s="94"/>
      <c r="D641" s="94"/>
      <c r="E641" s="179"/>
      <c r="F641" s="94"/>
      <c r="G641" s="94"/>
      <c r="H641" s="94"/>
      <c r="I641" s="94"/>
      <c r="J641" s="94"/>
      <c r="K641" s="94"/>
      <c r="L641" s="94"/>
      <c r="M641" s="94"/>
      <c r="N641" s="94"/>
      <c r="O641" s="94"/>
      <c r="P641" s="94"/>
      <c r="Q641" s="94"/>
      <c r="R641" s="94"/>
      <c r="S641" s="94"/>
      <c r="T641" s="94"/>
      <c r="U641" s="94"/>
      <c r="V641" s="94"/>
      <c r="W641" s="94"/>
      <c r="X641" s="94"/>
      <c r="Y641" s="38"/>
    </row>
    <row r="642" spans="1:25" ht="15.75" customHeight="1">
      <c r="A642" s="94"/>
      <c r="B642" s="94"/>
      <c r="C642" s="94"/>
      <c r="D642" s="94"/>
      <c r="E642" s="179"/>
      <c r="F642" s="94"/>
      <c r="G642" s="94"/>
      <c r="H642" s="94"/>
      <c r="I642" s="94"/>
      <c r="J642" s="94"/>
      <c r="K642" s="94"/>
      <c r="L642" s="94"/>
      <c r="M642" s="94"/>
      <c r="N642" s="94"/>
      <c r="O642" s="94"/>
      <c r="P642" s="94"/>
      <c r="Q642" s="94"/>
      <c r="R642" s="94"/>
      <c r="S642" s="94"/>
      <c r="T642" s="94"/>
      <c r="U642" s="94"/>
      <c r="V642" s="94"/>
      <c r="W642" s="94"/>
      <c r="X642" s="94"/>
      <c r="Y642" s="38"/>
    </row>
    <row r="643" spans="1:25" ht="15.75" customHeight="1">
      <c r="A643" s="94"/>
      <c r="B643" s="94"/>
      <c r="C643" s="94"/>
      <c r="D643" s="94"/>
      <c r="E643" s="179"/>
      <c r="F643" s="94"/>
      <c r="G643" s="94"/>
      <c r="H643" s="94"/>
      <c r="I643" s="94"/>
      <c r="J643" s="94"/>
      <c r="K643" s="94"/>
      <c r="L643" s="94"/>
      <c r="M643" s="94"/>
      <c r="N643" s="94"/>
      <c r="O643" s="94"/>
      <c r="P643" s="94"/>
      <c r="Q643" s="94"/>
      <c r="R643" s="94"/>
      <c r="S643" s="94"/>
      <c r="T643" s="94"/>
      <c r="U643" s="94"/>
      <c r="V643" s="94"/>
      <c r="W643" s="94"/>
      <c r="X643" s="94"/>
      <c r="Y643" s="38"/>
    </row>
    <row r="644" spans="1:25" ht="15.75" customHeight="1">
      <c r="A644" s="94"/>
      <c r="B644" s="94"/>
      <c r="C644" s="94"/>
      <c r="D644" s="94"/>
      <c r="E644" s="179"/>
      <c r="F644" s="94"/>
      <c r="G644" s="94"/>
      <c r="H644" s="94"/>
      <c r="I644" s="94"/>
      <c r="J644" s="94"/>
      <c r="K644" s="94"/>
      <c r="L644" s="94"/>
      <c r="M644" s="94"/>
      <c r="N644" s="94"/>
      <c r="O644" s="94"/>
      <c r="P644" s="94"/>
      <c r="Q644" s="94"/>
      <c r="R644" s="94"/>
      <c r="S644" s="94"/>
      <c r="T644" s="94"/>
      <c r="U644" s="94"/>
      <c r="V644" s="94"/>
      <c r="W644" s="94"/>
      <c r="X644" s="94"/>
      <c r="Y644" s="38"/>
    </row>
    <row r="645" spans="1:25" ht="15.75" customHeight="1">
      <c r="A645" s="94"/>
      <c r="B645" s="94"/>
      <c r="C645" s="94"/>
      <c r="D645" s="94"/>
      <c r="E645" s="179"/>
      <c r="F645" s="94"/>
      <c r="G645" s="94"/>
      <c r="H645" s="94"/>
      <c r="I645" s="94"/>
      <c r="J645" s="94"/>
      <c r="K645" s="94"/>
      <c r="L645" s="94"/>
      <c r="M645" s="94"/>
      <c r="N645" s="94"/>
      <c r="O645" s="94"/>
      <c r="P645" s="94"/>
      <c r="Q645" s="94"/>
      <c r="R645" s="94"/>
      <c r="S645" s="94"/>
      <c r="T645" s="94"/>
      <c r="U645" s="94"/>
      <c r="V645" s="94"/>
      <c r="W645" s="94"/>
      <c r="X645" s="94"/>
      <c r="Y645" s="38"/>
    </row>
    <row r="646" spans="1:25" ht="15.75" customHeight="1">
      <c r="A646" s="94"/>
      <c r="B646" s="94"/>
      <c r="C646" s="94"/>
      <c r="D646" s="94"/>
      <c r="E646" s="179"/>
      <c r="F646" s="94"/>
      <c r="G646" s="94"/>
      <c r="H646" s="94"/>
      <c r="I646" s="94"/>
      <c r="J646" s="94"/>
      <c r="K646" s="94"/>
      <c r="L646" s="94"/>
      <c r="M646" s="94"/>
      <c r="N646" s="94"/>
      <c r="O646" s="94"/>
      <c r="P646" s="94"/>
      <c r="Q646" s="94"/>
      <c r="R646" s="94"/>
      <c r="S646" s="94"/>
      <c r="T646" s="94"/>
      <c r="U646" s="94"/>
      <c r="V646" s="94"/>
      <c r="W646" s="94"/>
      <c r="X646" s="94"/>
      <c r="Y646" s="38"/>
    </row>
    <row r="647" spans="1:25" ht="15.75" customHeight="1">
      <c r="A647" s="94"/>
      <c r="B647" s="94"/>
      <c r="C647" s="94"/>
      <c r="D647" s="94"/>
      <c r="E647" s="179"/>
      <c r="F647" s="94"/>
      <c r="G647" s="94"/>
      <c r="H647" s="94"/>
      <c r="I647" s="94"/>
      <c r="J647" s="94"/>
      <c r="K647" s="94"/>
      <c r="L647" s="94"/>
      <c r="M647" s="94"/>
      <c r="N647" s="94"/>
      <c r="O647" s="94"/>
      <c r="P647" s="94"/>
      <c r="Q647" s="94"/>
      <c r="R647" s="94"/>
      <c r="S647" s="94"/>
      <c r="T647" s="94"/>
      <c r="U647" s="94"/>
      <c r="V647" s="94"/>
      <c r="W647" s="94"/>
      <c r="X647" s="94"/>
      <c r="Y647" s="38"/>
    </row>
    <row r="648" spans="1:25" ht="15.75" customHeight="1">
      <c r="A648" s="94"/>
      <c r="B648" s="94"/>
      <c r="C648" s="94"/>
      <c r="D648" s="94"/>
      <c r="E648" s="179"/>
      <c r="F648" s="94"/>
      <c r="G648" s="94"/>
      <c r="H648" s="94"/>
      <c r="I648" s="94"/>
      <c r="J648" s="94"/>
      <c r="K648" s="94"/>
      <c r="L648" s="94"/>
      <c r="M648" s="94"/>
      <c r="N648" s="94"/>
      <c r="O648" s="94"/>
      <c r="P648" s="94"/>
      <c r="Q648" s="94"/>
      <c r="R648" s="94"/>
      <c r="S648" s="94"/>
      <c r="T648" s="94"/>
      <c r="U648" s="94"/>
      <c r="V648" s="94"/>
      <c r="W648" s="94"/>
      <c r="X648" s="94"/>
      <c r="Y648" s="38"/>
    </row>
    <row r="649" spans="1:25" ht="15.75" customHeight="1">
      <c r="A649" s="94"/>
      <c r="B649" s="94"/>
      <c r="C649" s="94"/>
      <c r="D649" s="94"/>
      <c r="E649" s="179"/>
      <c r="F649" s="94"/>
      <c r="G649" s="94"/>
      <c r="H649" s="94"/>
      <c r="I649" s="94"/>
      <c r="J649" s="94"/>
      <c r="K649" s="94"/>
      <c r="L649" s="94"/>
      <c r="M649" s="94"/>
      <c r="N649" s="94"/>
      <c r="O649" s="94"/>
      <c r="P649" s="94"/>
      <c r="Q649" s="94"/>
      <c r="R649" s="94"/>
      <c r="S649" s="94"/>
      <c r="T649" s="94"/>
      <c r="U649" s="94"/>
      <c r="V649" s="94"/>
      <c r="W649" s="94"/>
      <c r="X649" s="94"/>
      <c r="Y649" s="38"/>
    </row>
    <row r="650" spans="1:25" ht="15.75" customHeight="1">
      <c r="A650" s="94"/>
      <c r="B650" s="94"/>
      <c r="C650" s="94"/>
      <c r="D650" s="94"/>
      <c r="E650" s="179"/>
      <c r="F650" s="94"/>
      <c r="G650" s="94"/>
      <c r="H650" s="94"/>
      <c r="I650" s="94"/>
      <c r="J650" s="94"/>
      <c r="K650" s="94"/>
      <c r="L650" s="94"/>
      <c r="M650" s="94"/>
      <c r="N650" s="94"/>
      <c r="O650" s="94"/>
      <c r="P650" s="94"/>
      <c r="Q650" s="94"/>
      <c r="R650" s="94"/>
      <c r="S650" s="94"/>
      <c r="T650" s="94"/>
      <c r="U650" s="94"/>
      <c r="V650" s="94"/>
      <c r="W650" s="94"/>
      <c r="X650" s="94"/>
      <c r="Y650" s="38"/>
    </row>
    <row r="651" spans="1:25" ht="15.75" customHeight="1">
      <c r="A651" s="94"/>
      <c r="B651" s="94"/>
      <c r="C651" s="94"/>
      <c r="D651" s="94"/>
      <c r="E651" s="179"/>
      <c r="F651" s="94"/>
      <c r="G651" s="94"/>
      <c r="H651" s="94"/>
      <c r="I651" s="94"/>
      <c r="J651" s="94"/>
      <c r="K651" s="94"/>
      <c r="L651" s="94"/>
      <c r="M651" s="94"/>
      <c r="N651" s="94"/>
      <c r="O651" s="94"/>
      <c r="P651" s="94"/>
      <c r="Q651" s="94"/>
      <c r="R651" s="94"/>
      <c r="S651" s="94"/>
      <c r="T651" s="94"/>
      <c r="U651" s="94"/>
      <c r="V651" s="94"/>
      <c r="W651" s="94"/>
      <c r="X651" s="94"/>
      <c r="Y651" s="38"/>
    </row>
    <row r="652" spans="1:25" ht="15.75" customHeight="1">
      <c r="A652" s="94"/>
      <c r="B652" s="94"/>
      <c r="C652" s="94"/>
      <c r="D652" s="94"/>
      <c r="E652" s="179"/>
      <c r="F652" s="94"/>
      <c r="G652" s="94"/>
      <c r="H652" s="94"/>
      <c r="I652" s="94"/>
      <c r="J652" s="94"/>
      <c r="K652" s="94"/>
      <c r="L652" s="94"/>
      <c r="M652" s="94"/>
      <c r="N652" s="94"/>
      <c r="O652" s="94"/>
      <c r="P652" s="94"/>
      <c r="Q652" s="94"/>
      <c r="R652" s="94"/>
      <c r="S652" s="94"/>
      <c r="T652" s="94"/>
      <c r="U652" s="94"/>
      <c r="V652" s="94"/>
      <c r="W652" s="94"/>
      <c r="X652" s="94"/>
      <c r="Y652" s="38"/>
    </row>
    <row r="653" spans="1:25" ht="15.75" customHeight="1">
      <c r="A653" s="94"/>
      <c r="B653" s="94"/>
      <c r="C653" s="94"/>
      <c r="D653" s="94"/>
      <c r="E653" s="179"/>
      <c r="F653" s="94"/>
      <c r="G653" s="94"/>
      <c r="H653" s="94"/>
      <c r="I653" s="94"/>
      <c r="J653" s="94"/>
      <c r="K653" s="94"/>
      <c r="L653" s="94"/>
      <c r="M653" s="94"/>
      <c r="N653" s="94"/>
      <c r="O653" s="94"/>
      <c r="P653" s="94"/>
      <c r="Q653" s="94"/>
      <c r="R653" s="94"/>
      <c r="S653" s="94"/>
      <c r="T653" s="94"/>
      <c r="U653" s="94"/>
      <c r="V653" s="94"/>
      <c r="W653" s="94"/>
      <c r="X653" s="94"/>
      <c r="Y653" s="38"/>
    </row>
    <row r="654" spans="1:25" ht="15.75" customHeight="1">
      <c r="A654" s="94"/>
      <c r="B654" s="94"/>
      <c r="C654" s="94"/>
      <c r="D654" s="94"/>
      <c r="E654" s="179"/>
      <c r="F654" s="94"/>
      <c r="G654" s="94"/>
      <c r="H654" s="94"/>
      <c r="I654" s="94"/>
      <c r="J654" s="94"/>
      <c r="K654" s="94"/>
      <c r="L654" s="94"/>
      <c r="M654" s="94"/>
      <c r="N654" s="94"/>
      <c r="O654" s="94"/>
      <c r="P654" s="94"/>
      <c r="Q654" s="94"/>
      <c r="R654" s="94"/>
      <c r="S654" s="94"/>
      <c r="T654" s="94"/>
      <c r="U654" s="94"/>
      <c r="V654" s="94"/>
      <c r="W654" s="94"/>
      <c r="X654" s="94"/>
      <c r="Y654" s="38"/>
    </row>
    <row r="655" spans="1:25" ht="15.75" customHeight="1">
      <c r="A655" s="94"/>
      <c r="B655" s="94"/>
      <c r="C655" s="94"/>
      <c r="D655" s="94"/>
      <c r="E655" s="179"/>
      <c r="F655" s="94"/>
      <c r="G655" s="94"/>
      <c r="H655" s="94"/>
      <c r="I655" s="94"/>
      <c r="J655" s="94"/>
      <c r="K655" s="94"/>
      <c r="L655" s="94"/>
      <c r="M655" s="94"/>
      <c r="N655" s="94"/>
      <c r="O655" s="94"/>
      <c r="P655" s="94"/>
      <c r="Q655" s="94"/>
      <c r="R655" s="94"/>
      <c r="S655" s="94"/>
      <c r="T655" s="94"/>
      <c r="U655" s="94"/>
      <c r="V655" s="94"/>
      <c r="W655" s="94"/>
      <c r="X655" s="94"/>
      <c r="Y655" s="38"/>
    </row>
    <row r="656" spans="1:25" ht="15.75" customHeight="1">
      <c r="A656" s="94"/>
      <c r="B656" s="94"/>
      <c r="C656" s="94"/>
      <c r="D656" s="94"/>
      <c r="E656" s="179"/>
      <c r="F656" s="94"/>
      <c r="G656" s="94"/>
      <c r="H656" s="94"/>
      <c r="I656" s="94"/>
      <c r="J656" s="94"/>
      <c r="K656" s="94"/>
      <c r="L656" s="94"/>
      <c r="M656" s="94"/>
      <c r="N656" s="94"/>
      <c r="O656" s="94"/>
      <c r="P656" s="94"/>
      <c r="Q656" s="94"/>
      <c r="R656" s="94"/>
      <c r="S656" s="94"/>
      <c r="T656" s="94"/>
      <c r="U656" s="94"/>
      <c r="V656" s="94"/>
      <c r="W656" s="94"/>
      <c r="X656" s="94"/>
      <c r="Y656" s="38"/>
    </row>
    <row r="657" spans="1:25" ht="15.75" customHeight="1">
      <c r="A657" s="94"/>
      <c r="B657" s="94"/>
      <c r="C657" s="94"/>
      <c r="D657" s="94"/>
      <c r="E657" s="179"/>
      <c r="F657" s="94"/>
      <c r="G657" s="94"/>
      <c r="H657" s="94"/>
      <c r="I657" s="94"/>
      <c r="J657" s="94"/>
      <c r="K657" s="94"/>
      <c r="L657" s="94"/>
      <c r="M657" s="94"/>
      <c r="N657" s="94"/>
      <c r="O657" s="94"/>
      <c r="P657" s="94"/>
      <c r="Q657" s="94"/>
      <c r="R657" s="94"/>
      <c r="S657" s="94"/>
      <c r="T657" s="94"/>
      <c r="U657" s="94"/>
      <c r="V657" s="94"/>
      <c r="W657" s="94"/>
      <c r="X657" s="94"/>
      <c r="Y657" s="38"/>
    </row>
    <row r="658" spans="1:25" ht="15.75" customHeight="1">
      <c r="A658" s="94"/>
      <c r="B658" s="94"/>
      <c r="C658" s="94"/>
      <c r="D658" s="94"/>
      <c r="E658" s="179"/>
      <c r="F658" s="94"/>
      <c r="G658" s="94"/>
      <c r="H658" s="94"/>
      <c r="I658" s="94"/>
      <c r="J658" s="94"/>
      <c r="K658" s="94"/>
      <c r="L658" s="94"/>
      <c r="M658" s="94"/>
      <c r="N658" s="94"/>
      <c r="O658" s="94"/>
      <c r="P658" s="94"/>
      <c r="Q658" s="94"/>
      <c r="R658" s="94"/>
      <c r="S658" s="94"/>
      <c r="T658" s="94"/>
      <c r="U658" s="94"/>
      <c r="V658" s="94"/>
      <c r="W658" s="94"/>
      <c r="X658" s="94"/>
      <c r="Y658" s="38"/>
    </row>
    <row r="659" spans="1:25" ht="15.75" customHeight="1">
      <c r="A659" s="94"/>
      <c r="B659" s="94"/>
      <c r="C659" s="94"/>
      <c r="D659" s="94"/>
      <c r="E659" s="179"/>
      <c r="F659" s="94"/>
      <c r="G659" s="94"/>
      <c r="H659" s="94"/>
      <c r="I659" s="94"/>
      <c r="J659" s="94"/>
      <c r="K659" s="94"/>
      <c r="L659" s="94"/>
      <c r="M659" s="94"/>
      <c r="N659" s="94"/>
      <c r="O659" s="94"/>
      <c r="P659" s="94"/>
      <c r="Q659" s="94"/>
      <c r="R659" s="94"/>
      <c r="S659" s="94"/>
      <c r="T659" s="94"/>
      <c r="U659" s="94"/>
      <c r="V659" s="94"/>
      <c r="W659" s="94"/>
      <c r="X659" s="94"/>
      <c r="Y659" s="38"/>
    </row>
    <row r="660" spans="1:25" ht="15.75" customHeight="1">
      <c r="A660" s="94"/>
      <c r="B660" s="94"/>
      <c r="C660" s="94"/>
      <c r="D660" s="94"/>
      <c r="E660" s="179"/>
      <c r="F660" s="94"/>
      <c r="G660" s="94"/>
      <c r="H660" s="94"/>
      <c r="I660" s="94"/>
      <c r="J660" s="94"/>
      <c r="K660" s="94"/>
      <c r="L660" s="94"/>
      <c r="M660" s="94"/>
      <c r="N660" s="94"/>
      <c r="O660" s="94"/>
      <c r="P660" s="94"/>
      <c r="Q660" s="94"/>
      <c r="R660" s="94"/>
      <c r="S660" s="94"/>
      <c r="T660" s="94"/>
      <c r="U660" s="94"/>
      <c r="V660" s="94"/>
      <c r="W660" s="94"/>
      <c r="X660" s="94"/>
      <c r="Y660" s="38"/>
    </row>
    <row r="661" spans="1:25" ht="15.75" customHeight="1">
      <c r="A661" s="94"/>
      <c r="B661" s="94"/>
      <c r="C661" s="94"/>
      <c r="D661" s="94"/>
      <c r="E661" s="179"/>
      <c r="F661" s="94"/>
      <c r="G661" s="94"/>
      <c r="H661" s="94"/>
      <c r="I661" s="94"/>
      <c r="J661" s="94"/>
      <c r="K661" s="94"/>
      <c r="L661" s="94"/>
      <c r="M661" s="94"/>
      <c r="N661" s="94"/>
      <c r="O661" s="94"/>
      <c r="P661" s="94"/>
      <c r="Q661" s="94"/>
      <c r="R661" s="94"/>
      <c r="S661" s="94"/>
      <c r="T661" s="94"/>
      <c r="U661" s="94"/>
      <c r="V661" s="94"/>
      <c r="W661" s="94"/>
      <c r="X661" s="94"/>
      <c r="Y661" s="38"/>
    </row>
    <row r="662" spans="1:25" ht="15.75" customHeight="1">
      <c r="A662" s="94"/>
      <c r="B662" s="94"/>
      <c r="C662" s="94"/>
      <c r="D662" s="94"/>
      <c r="E662" s="179"/>
      <c r="F662" s="94"/>
      <c r="G662" s="94"/>
      <c r="H662" s="94"/>
      <c r="I662" s="94"/>
      <c r="J662" s="94"/>
      <c r="K662" s="94"/>
      <c r="L662" s="94"/>
      <c r="M662" s="94"/>
      <c r="N662" s="94"/>
      <c r="O662" s="94"/>
      <c r="P662" s="94"/>
      <c r="Q662" s="94"/>
      <c r="R662" s="94"/>
      <c r="S662" s="94"/>
      <c r="T662" s="94"/>
      <c r="U662" s="94"/>
      <c r="V662" s="94"/>
      <c r="W662" s="94"/>
      <c r="X662" s="94"/>
      <c r="Y662" s="38"/>
    </row>
    <row r="663" spans="1:25" ht="15.75" customHeight="1">
      <c r="A663" s="94"/>
      <c r="B663" s="94"/>
      <c r="C663" s="94"/>
      <c r="D663" s="94"/>
      <c r="E663" s="179"/>
      <c r="F663" s="94"/>
      <c r="G663" s="94"/>
      <c r="H663" s="94"/>
      <c r="I663" s="94"/>
      <c r="J663" s="94"/>
      <c r="K663" s="94"/>
      <c r="L663" s="94"/>
      <c r="M663" s="94"/>
      <c r="N663" s="94"/>
      <c r="O663" s="94"/>
      <c r="P663" s="94"/>
      <c r="Q663" s="94"/>
      <c r="R663" s="94"/>
      <c r="S663" s="94"/>
      <c r="T663" s="94"/>
      <c r="U663" s="94"/>
      <c r="V663" s="94"/>
      <c r="W663" s="94"/>
      <c r="X663" s="94"/>
      <c r="Y663" s="38"/>
    </row>
    <row r="664" spans="1:25" ht="15.75" customHeight="1">
      <c r="A664" s="94"/>
      <c r="B664" s="94"/>
      <c r="C664" s="94"/>
      <c r="D664" s="94"/>
      <c r="E664" s="179"/>
      <c r="F664" s="94"/>
      <c r="G664" s="94"/>
      <c r="H664" s="94"/>
      <c r="I664" s="94"/>
      <c r="J664" s="94"/>
      <c r="K664" s="94"/>
      <c r="L664" s="94"/>
      <c r="M664" s="94"/>
      <c r="N664" s="94"/>
      <c r="O664" s="94"/>
      <c r="P664" s="94"/>
      <c r="Q664" s="94"/>
      <c r="R664" s="94"/>
      <c r="S664" s="94"/>
      <c r="T664" s="94"/>
      <c r="U664" s="94"/>
      <c r="V664" s="94"/>
      <c r="W664" s="94"/>
      <c r="X664" s="94"/>
      <c r="Y664" s="38"/>
    </row>
    <row r="665" spans="1:25" ht="15.75" customHeight="1">
      <c r="A665" s="94"/>
      <c r="B665" s="94"/>
      <c r="C665" s="94"/>
      <c r="D665" s="94"/>
      <c r="E665" s="179"/>
      <c r="F665" s="94"/>
      <c r="G665" s="94"/>
      <c r="H665" s="94"/>
      <c r="I665" s="94"/>
      <c r="J665" s="94"/>
      <c r="K665" s="94"/>
      <c r="L665" s="94"/>
      <c r="M665" s="94"/>
      <c r="N665" s="94"/>
      <c r="O665" s="94"/>
      <c r="P665" s="94"/>
      <c r="Q665" s="94"/>
      <c r="R665" s="94"/>
      <c r="S665" s="94"/>
      <c r="T665" s="94"/>
      <c r="U665" s="94"/>
      <c r="V665" s="94"/>
      <c r="W665" s="94"/>
      <c r="X665" s="94"/>
      <c r="Y665" s="38"/>
    </row>
    <row r="666" spans="1:25" ht="15.75" customHeight="1">
      <c r="A666" s="94"/>
      <c r="B666" s="94"/>
      <c r="C666" s="94"/>
      <c r="D666" s="94"/>
      <c r="E666" s="179"/>
      <c r="F666" s="94"/>
      <c r="G666" s="94"/>
      <c r="H666" s="94"/>
      <c r="I666" s="94"/>
      <c r="J666" s="94"/>
      <c r="K666" s="94"/>
      <c r="L666" s="94"/>
      <c r="M666" s="94"/>
      <c r="N666" s="94"/>
      <c r="O666" s="94"/>
      <c r="P666" s="94"/>
      <c r="Q666" s="94"/>
      <c r="R666" s="94"/>
      <c r="S666" s="94"/>
      <c r="T666" s="94"/>
      <c r="U666" s="94"/>
      <c r="V666" s="94"/>
      <c r="W666" s="94"/>
      <c r="X666" s="94"/>
      <c r="Y666" s="38"/>
    </row>
    <row r="667" spans="1:25" ht="15.75" customHeight="1">
      <c r="A667" s="94"/>
      <c r="B667" s="94"/>
      <c r="C667" s="94"/>
      <c r="D667" s="94"/>
      <c r="E667" s="179"/>
      <c r="F667" s="94"/>
      <c r="G667" s="94"/>
      <c r="H667" s="94"/>
      <c r="I667" s="94"/>
      <c r="J667" s="94"/>
      <c r="K667" s="94"/>
      <c r="L667" s="94"/>
      <c r="M667" s="94"/>
      <c r="N667" s="94"/>
      <c r="O667" s="94"/>
      <c r="P667" s="94"/>
      <c r="Q667" s="94"/>
      <c r="R667" s="94"/>
      <c r="S667" s="94"/>
      <c r="T667" s="94"/>
      <c r="U667" s="94"/>
      <c r="V667" s="94"/>
      <c r="W667" s="94"/>
      <c r="X667" s="94"/>
      <c r="Y667" s="38"/>
    </row>
    <row r="668" spans="1:25" ht="15.75" customHeight="1">
      <c r="A668" s="94"/>
      <c r="B668" s="94"/>
      <c r="C668" s="94"/>
      <c r="D668" s="94"/>
      <c r="E668" s="179"/>
      <c r="F668" s="94"/>
      <c r="G668" s="94"/>
      <c r="H668" s="94"/>
      <c r="I668" s="94"/>
      <c r="J668" s="94"/>
      <c r="K668" s="94"/>
      <c r="L668" s="94"/>
      <c r="M668" s="94"/>
      <c r="N668" s="94"/>
      <c r="O668" s="94"/>
      <c r="P668" s="94"/>
      <c r="Q668" s="94"/>
      <c r="R668" s="94"/>
      <c r="S668" s="94"/>
      <c r="T668" s="94"/>
      <c r="U668" s="94"/>
      <c r="V668" s="94"/>
      <c r="W668" s="94"/>
      <c r="X668" s="94"/>
      <c r="Y668" s="38"/>
    </row>
    <row r="669" spans="1:25" ht="15.75" customHeight="1">
      <c r="A669" s="94"/>
      <c r="B669" s="94"/>
      <c r="C669" s="94"/>
      <c r="D669" s="94"/>
      <c r="E669" s="179"/>
      <c r="F669" s="94"/>
      <c r="G669" s="94"/>
      <c r="H669" s="94"/>
      <c r="I669" s="94"/>
      <c r="J669" s="94"/>
      <c r="K669" s="94"/>
      <c r="L669" s="94"/>
      <c r="M669" s="94"/>
      <c r="N669" s="94"/>
      <c r="O669" s="94"/>
      <c r="P669" s="94"/>
      <c r="Q669" s="94"/>
      <c r="R669" s="94"/>
      <c r="S669" s="94"/>
      <c r="T669" s="94"/>
      <c r="U669" s="94"/>
      <c r="V669" s="94"/>
      <c r="W669" s="94"/>
      <c r="X669" s="94"/>
      <c r="Y669" s="38"/>
    </row>
    <row r="670" spans="1:25" ht="15.75" customHeight="1">
      <c r="A670" s="94"/>
      <c r="B670" s="94"/>
      <c r="C670" s="94"/>
      <c r="D670" s="94"/>
      <c r="E670" s="179"/>
      <c r="F670" s="94"/>
      <c r="G670" s="94"/>
      <c r="H670" s="94"/>
      <c r="I670" s="94"/>
      <c r="J670" s="94"/>
      <c r="K670" s="94"/>
      <c r="L670" s="94"/>
      <c r="M670" s="94"/>
      <c r="N670" s="94"/>
      <c r="O670" s="94"/>
      <c r="P670" s="94"/>
      <c r="Q670" s="94"/>
      <c r="R670" s="94"/>
      <c r="S670" s="94"/>
      <c r="T670" s="94"/>
      <c r="U670" s="94"/>
      <c r="V670" s="94"/>
      <c r="W670" s="94"/>
      <c r="X670" s="94"/>
      <c r="Y670" s="38"/>
    </row>
    <row r="671" spans="1:25" ht="15.75" customHeight="1">
      <c r="A671" s="94"/>
      <c r="B671" s="94"/>
      <c r="C671" s="94"/>
      <c r="D671" s="94"/>
      <c r="E671" s="179"/>
      <c r="F671" s="94"/>
      <c r="G671" s="94"/>
      <c r="H671" s="94"/>
      <c r="I671" s="94"/>
      <c r="J671" s="94"/>
      <c r="K671" s="94"/>
      <c r="L671" s="94"/>
      <c r="M671" s="94"/>
      <c r="N671" s="94"/>
      <c r="O671" s="94"/>
      <c r="P671" s="94"/>
      <c r="Q671" s="94"/>
      <c r="R671" s="94"/>
      <c r="S671" s="94"/>
      <c r="T671" s="94"/>
      <c r="U671" s="94"/>
      <c r="V671" s="94"/>
      <c r="W671" s="94"/>
      <c r="X671" s="94"/>
      <c r="Y671" s="38"/>
    </row>
    <row r="672" spans="1:25" ht="15.75" customHeight="1">
      <c r="A672" s="94"/>
      <c r="B672" s="94"/>
      <c r="C672" s="94"/>
      <c r="D672" s="94"/>
      <c r="E672" s="179"/>
      <c r="F672" s="94"/>
      <c r="G672" s="94"/>
      <c r="H672" s="94"/>
      <c r="I672" s="94"/>
      <c r="J672" s="94"/>
      <c r="K672" s="94"/>
      <c r="L672" s="94"/>
      <c r="M672" s="94"/>
      <c r="N672" s="94"/>
      <c r="O672" s="94"/>
      <c r="P672" s="94"/>
      <c r="Q672" s="94"/>
      <c r="R672" s="94"/>
      <c r="S672" s="94"/>
      <c r="T672" s="94"/>
      <c r="U672" s="94"/>
      <c r="V672" s="94"/>
      <c r="W672" s="94"/>
      <c r="X672" s="94"/>
      <c r="Y672" s="38"/>
    </row>
    <row r="673" spans="1:25" ht="15.75" customHeight="1">
      <c r="A673" s="94"/>
      <c r="B673" s="94"/>
      <c r="C673" s="94"/>
      <c r="D673" s="94"/>
      <c r="E673" s="179"/>
      <c r="F673" s="94"/>
      <c r="G673" s="94"/>
      <c r="H673" s="94"/>
      <c r="I673" s="94"/>
      <c r="J673" s="94"/>
      <c r="K673" s="94"/>
      <c r="L673" s="94"/>
      <c r="M673" s="94"/>
      <c r="N673" s="94"/>
      <c r="O673" s="94"/>
      <c r="P673" s="94"/>
      <c r="Q673" s="94"/>
      <c r="R673" s="94"/>
      <c r="S673" s="94"/>
      <c r="T673" s="94"/>
      <c r="U673" s="94"/>
      <c r="V673" s="94"/>
      <c r="W673" s="94"/>
      <c r="X673" s="94"/>
      <c r="Y673" s="38"/>
    </row>
    <row r="674" spans="1:25" ht="15.75" customHeight="1">
      <c r="A674" s="94"/>
      <c r="B674" s="94"/>
      <c r="C674" s="94"/>
      <c r="D674" s="94"/>
      <c r="E674" s="179"/>
      <c r="F674" s="94"/>
      <c r="G674" s="94"/>
      <c r="H674" s="94"/>
      <c r="I674" s="94"/>
      <c r="J674" s="94"/>
      <c r="K674" s="94"/>
      <c r="L674" s="94"/>
      <c r="M674" s="94"/>
      <c r="N674" s="94"/>
      <c r="O674" s="94"/>
      <c r="P674" s="94"/>
      <c r="Q674" s="94"/>
      <c r="R674" s="94"/>
      <c r="S674" s="94"/>
      <c r="T674" s="94"/>
      <c r="U674" s="94"/>
      <c r="V674" s="94"/>
      <c r="W674" s="94"/>
      <c r="X674" s="94"/>
      <c r="Y674" s="38"/>
    </row>
    <row r="675" spans="1:25" ht="15.75" customHeight="1">
      <c r="A675" s="94"/>
      <c r="B675" s="94"/>
      <c r="C675" s="94"/>
      <c r="D675" s="94"/>
      <c r="E675" s="179"/>
      <c r="F675" s="94"/>
      <c r="G675" s="94"/>
      <c r="H675" s="94"/>
      <c r="I675" s="94"/>
      <c r="J675" s="94"/>
      <c r="K675" s="94"/>
      <c r="L675" s="94"/>
      <c r="M675" s="94"/>
      <c r="N675" s="94"/>
      <c r="O675" s="94"/>
      <c r="P675" s="94"/>
      <c r="Q675" s="94"/>
      <c r="R675" s="94"/>
      <c r="S675" s="94"/>
      <c r="T675" s="94"/>
      <c r="U675" s="94"/>
      <c r="V675" s="94"/>
      <c r="W675" s="94"/>
      <c r="X675" s="94"/>
      <c r="Y675" s="38"/>
    </row>
    <row r="676" spans="1:25" ht="15.75" customHeight="1">
      <c r="A676" s="94"/>
      <c r="B676" s="94"/>
      <c r="C676" s="94"/>
      <c r="D676" s="94"/>
      <c r="E676" s="179"/>
      <c r="F676" s="94"/>
      <c r="G676" s="94"/>
      <c r="H676" s="94"/>
      <c r="I676" s="94"/>
      <c r="J676" s="94"/>
      <c r="K676" s="94"/>
      <c r="L676" s="94"/>
      <c r="M676" s="94"/>
      <c r="N676" s="94"/>
      <c r="O676" s="94"/>
      <c r="P676" s="94"/>
      <c r="Q676" s="94"/>
      <c r="R676" s="94"/>
      <c r="S676" s="94"/>
      <c r="T676" s="94"/>
      <c r="U676" s="94"/>
      <c r="V676" s="94"/>
      <c r="W676" s="94"/>
      <c r="X676" s="94"/>
      <c r="Y676" s="38"/>
    </row>
    <row r="677" spans="1:25" ht="15.75" customHeight="1">
      <c r="A677" s="94"/>
      <c r="B677" s="94"/>
      <c r="C677" s="94"/>
      <c r="D677" s="94"/>
      <c r="E677" s="179"/>
      <c r="F677" s="94"/>
      <c r="G677" s="94"/>
      <c r="H677" s="94"/>
      <c r="I677" s="94"/>
      <c r="J677" s="94"/>
      <c r="K677" s="94"/>
      <c r="L677" s="94"/>
      <c r="M677" s="94"/>
      <c r="N677" s="94"/>
      <c r="O677" s="94"/>
      <c r="P677" s="94"/>
      <c r="Q677" s="94"/>
      <c r="R677" s="94"/>
      <c r="S677" s="94"/>
      <c r="T677" s="94"/>
      <c r="U677" s="94"/>
      <c r="V677" s="94"/>
      <c r="W677" s="94"/>
      <c r="X677" s="94"/>
      <c r="Y677" s="38"/>
    </row>
    <row r="678" spans="1:25" ht="15.75" customHeight="1">
      <c r="A678" s="94"/>
      <c r="B678" s="94"/>
      <c r="C678" s="94"/>
      <c r="D678" s="94"/>
      <c r="E678" s="179"/>
      <c r="F678" s="94"/>
      <c r="G678" s="94"/>
      <c r="H678" s="94"/>
      <c r="I678" s="94"/>
      <c r="J678" s="94"/>
      <c r="K678" s="94"/>
      <c r="L678" s="94"/>
      <c r="M678" s="94"/>
      <c r="N678" s="94"/>
      <c r="O678" s="94"/>
      <c r="P678" s="94"/>
      <c r="Q678" s="94"/>
      <c r="R678" s="94"/>
      <c r="S678" s="94"/>
      <c r="T678" s="94"/>
      <c r="U678" s="94"/>
      <c r="V678" s="94"/>
      <c r="W678" s="94"/>
      <c r="X678" s="94"/>
      <c r="Y678" s="38"/>
    </row>
    <row r="679" spans="1:25" ht="15.75" customHeight="1">
      <c r="A679" s="94"/>
      <c r="B679" s="94"/>
      <c r="C679" s="94"/>
      <c r="D679" s="94"/>
      <c r="E679" s="179"/>
      <c r="F679" s="94"/>
      <c r="G679" s="94"/>
      <c r="H679" s="94"/>
      <c r="I679" s="94"/>
      <c r="J679" s="94"/>
      <c r="K679" s="94"/>
      <c r="L679" s="94"/>
      <c r="M679" s="94"/>
      <c r="N679" s="94"/>
      <c r="O679" s="94"/>
      <c r="P679" s="94"/>
      <c r="Q679" s="94"/>
      <c r="R679" s="94"/>
      <c r="S679" s="94"/>
      <c r="T679" s="94"/>
      <c r="U679" s="94"/>
      <c r="V679" s="94"/>
      <c r="W679" s="94"/>
      <c r="X679" s="94"/>
      <c r="Y679" s="38"/>
    </row>
    <row r="680" spans="1:25" ht="15.75" customHeight="1">
      <c r="A680" s="94"/>
      <c r="B680" s="94"/>
      <c r="C680" s="94"/>
      <c r="D680" s="94"/>
      <c r="E680" s="179"/>
      <c r="F680" s="94"/>
      <c r="G680" s="94"/>
      <c r="H680" s="94"/>
      <c r="I680" s="94"/>
      <c r="J680" s="94"/>
      <c r="K680" s="94"/>
      <c r="L680" s="94"/>
      <c r="M680" s="94"/>
      <c r="N680" s="94"/>
      <c r="O680" s="94"/>
      <c r="P680" s="94"/>
      <c r="Q680" s="94"/>
      <c r="R680" s="94"/>
      <c r="S680" s="94"/>
      <c r="T680" s="94"/>
      <c r="U680" s="94"/>
      <c r="V680" s="94"/>
      <c r="W680" s="94"/>
      <c r="X680" s="94"/>
      <c r="Y680" s="38"/>
    </row>
    <row r="681" spans="1:25" ht="15.75" customHeight="1">
      <c r="A681" s="94"/>
      <c r="B681" s="94"/>
      <c r="C681" s="94"/>
      <c r="D681" s="94"/>
      <c r="E681" s="179"/>
      <c r="F681" s="94"/>
      <c r="G681" s="94"/>
      <c r="H681" s="94"/>
      <c r="I681" s="94"/>
      <c r="J681" s="94"/>
      <c r="K681" s="94"/>
      <c r="L681" s="94"/>
      <c r="M681" s="94"/>
      <c r="N681" s="94"/>
      <c r="O681" s="94"/>
      <c r="P681" s="94"/>
      <c r="Q681" s="94"/>
      <c r="R681" s="94"/>
      <c r="S681" s="94"/>
      <c r="T681" s="94"/>
      <c r="U681" s="94"/>
      <c r="V681" s="94"/>
      <c r="W681" s="94"/>
      <c r="X681" s="94"/>
      <c r="Y681" s="38"/>
    </row>
    <row r="682" spans="1:25" ht="15.75" customHeight="1">
      <c r="A682" s="94"/>
      <c r="B682" s="94"/>
      <c r="C682" s="94"/>
      <c r="D682" s="94"/>
      <c r="E682" s="179"/>
      <c r="F682" s="94"/>
      <c r="G682" s="94"/>
      <c r="H682" s="94"/>
      <c r="I682" s="94"/>
      <c r="J682" s="94"/>
      <c r="K682" s="94"/>
      <c r="L682" s="94"/>
      <c r="M682" s="94"/>
      <c r="N682" s="94"/>
      <c r="O682" s="94"/>
      <c r="P682" s="94"/>
      <c r="Q682" s="94"/>
      <c r="R682" s="94"/>
      <c r="S682" s="94"/>
      <c r="T682" s="94"/>
      <c r="U682" s="94"/>
      <c r="V682" s="94"/>
      <c r="W682" s="94"/>
      <c r="X682" s="94"/>
      <c r="Y682" s="38"/>
    </row>
    <row r="683" spans="1:25" ht="15.75" customHeight="1">
      <c r="A683" s="94"/>
      <c r="B683" s="94"/>
      <c r="C683" s="94"/>
      <c r="D683" s="94"/>
      <c r="E683" s="179"/>
      <c r="F683" s="94"/>
      <c r="G683" s="94"/>
      <c r="H683" s="94"/>
      <c r="I683" s="94"/>
      <c r="J683" s="94"/>
      <c r="K683" s="94"/>
      <c r="L683" s="94"/>
      <c r="M683" s="94"/>
      <c r="N683" s="94"/>
      <c r="O683" s="94"/>
      <c r="P683" s="94"/>
      <c r="Q683" s="94"/>
      <c r="R683" s="94"/>
      <c r="S683" s="94"/>
      <c r="T683" s="94"/>
      <c r="U683" s="94"/>
      <c r="V683" s="94"/>
      <c r="W683" s="94"/>
      <c r="X683" s="94"/>
      <c r="Y683" s="38"/>
    </row>
    <row r="684" spans="1:25" ht="15.75" customHeight="1">
      <c r="A684" s="94"/>
      <c r="B684" s="94"/>
      <c r="C684" s="94"/>
      <c r="D684" s="94"/>
      <c r="E684" s="179"/>
      <c r="F684" s="94"/>
      <c r="G684" s="94"/>
      <c r="H684" s="94"/>
      <c r="I684" s="94"/>
      <c r="J684" s="94"/>
      <c r="K684" s="94"/>
      <c r="L684" s="94"/>
      <c r="M684" s="94"/>
      <c r="N684" s="94"/>
      <c r="O684" s="94"/>
      <c r="P684" s="94"/>
      <c r="Q684" s="94"/>
      <c r="R684" s="94"/>
      <c r="S684" s="94"/>
      <c r="T684" s="94"/>
      <c r="U684" s="94"/>
      <c r="V684" s="94"/>
      <c r="W684" s="94"/>
      <c r="X684" s="94"/>
      <c r="Y684" s="38"/>
    </row>
    <row r="685" spans="1:25" ht="15.75" customHeight="1">
      <c r="A685" s="94"/>
      <c r="B685" s="94"/>
      <c r="C685" s="94"/>
      <c r="D685" s="94"/>
      <c r="E685" s="179"/>
      <c r="F685" s="94"/>
      <c r="G685" s="94"/>
      <c r="H685" s="94"/>
      <c r="I685" s="94"/>
      <c r="J685" s="94"/>
      <c r="K685" s="94"/>
      <c r="L685" s="94"/>
      <c r="M685" s="94"/>
      <c r="N685" s="94"/>
      <c r="O685" s="94"/>
      <c r="P685" s="94"/>
      <c r="Q685" s="94"/>
      <c r="R685" s="94"/>
      <c r="S685" s="94"/>
      <c r="T685" s="94"/>
      <c r="U685" s="94"/>
      <c r="V685" s="94"/>
      <c r="W685" s="94"/>
      <c r="X685" s="94"/>
      <c r="Y685" s="38"/>
    </row>
    <row r="686" spans="1:25" ht="15.75" customHeight="1">
      <c r="A686" s="94"/>
      <c r="B686" s="94"/>
      <c r="C686" s="94"/>
      <c r="D686" s="94"/>
      <c r="E686" s="179"/>
      <c r="F686" s="94"/>
      <c r="G686" s="94"/>
      <c r="H686" s="94"/>
      <c r="I686" s="94"/>
      <c r="J686" s="94"/>
      <c r="K686" s="94"/>
      <c r="L686" s="94"/>
      <c r="M686" s="94"/>
      <c r="N686" s="94"/>
      <c r="O686" s="94"/>
      <c r="P686" s="94"/>
      <c r="Q686" s="94"/>
      <c r="R686" s="94"/>
      <c r="S686" s="94"/>
      <c r="T686" s="94"/>
      <c r="U686" s="94"/>
      <c r="V686" s="94"/>
      <c r="W686" s="94"/>
      <c r="X686" s="94"/>
      <c r="Y686" s="38"/>
    </row>
    <row r="687" spans="1:25" ht="15.75" customHeight="1">
      <c r="A687" s="94"/>
      <c r="B687" s="94"/>
      <c r="C687" s="94"/>
      <c r="D687" s="94"/>
      <c r="E687" s="179"/>
      <c r="F687" s="94"/>
      <c r="G687" s="94"/>
      <c r="H687" s="94"/>
      <c r="I687" s="94"/>
      <c r="J687" s="94"/>
      <c r="K687" s="94"/>
      <c r="L687" s="94"/>
      <c r="M687" s="94"/>
      <c r="N687" s="94"/>
      <c r="O687" s="94"/>
      <c r="P687" s="94"/>
      <c r="Q687" s="94"/>
      <c r="R687" s="94"/>
      <c r="S687" s="94"/>
      <c r="T687" s="94"/>
      <c r="U687" s="94"/>
      <c r="V687" s="94"/>
      <c r="W687" s="94"/>
      <c r="X687" s="94"/>
      <c r="Y687" s="38"/>
    </row>
    <row r="688" spans="1:25" ht="15.75" customHeight="1">
      <c r="A688" s="94"/>
      <c r="B688" s="94"/>
      <c r="C688" s="94"/>
      <c r="D688" s="94"/>
      <c r="E688" s="179"/>
      <c r="F688" s="94"/>
      <c r="G688" s="94"/>
      <c r="H688" s="94"/>
      <c r="I688" s="94"/>
      <c r="J688" s="94"/>
      <c r="K688" s="94"/>
      <c r="L688" s="94"/>
      <c r="M688" s="94"/>
      <c r="N688" s="94"/>
      <c r="O688" s="94"/>
      <c r="P688" s="94"/>
      <c r="Q688" s="94"/>
      <c r="R688" s="94"/>
      <c r="S688" s="94"/>
      <c r="T688" s="94"/>
      <c r="U688" s="94"/>
      <c r="V688" s="94"/>
      <c r="W688" s="94"/>
      <c r="X688" s="94"/>
      <c r="Y688" s="38"/>
    </row>
    <row r="689" spans="1:25" ht="15.75" customHeight="1">
      <c r="A689" s="94"/>
      <c r="B689" s="94"/>
      <c r="C689" s="94"/>
      <c r="D689" s="94"/>
      <c r="E689" s="179"/>
      <c r="F689" s="94"/>
      <c r="G689" s="94"/>
      <c r="H689" s="94"/>
      <c r="I689" s="94"/>
      <c r="J689" s="94"/>
      <c r="K689" s="94"/>
      <c r="L689" s="94"/>
      <c r="M689" s="94"/>
      <c r="N689" s="94"/>
      <c r="O689" s="94"/>
      <c r="P689" s="94"/>
      <c r="Q689" s="94"/>
      <c r="R689" s="94"/>
      <c r="S689" s="94"/>
      <c r="T689" s="94"/>
      <c r="U689" s="94"/>
      <c r="V689" s="94"/>
      <c r="W689" s="94"/>
      <c r="X689" s="94"/>
      <c r="Y689" s="38"/>
    </row>
    <row r="690" spans="1:25" ht="15.75" customHeight="1">
      <c r="A690" s="94"/>
      <c r="B690" s="94"/>
      <c r="C690" s="94"/>
      <c r="D690" s="94"/>
      <c r="E690" s="179"/>
      <c r="F690" s="94"/>
      <c r="G690" s="94"/>
      <c r="H690" s="94"/>
      <c r="I690" s="94"/>
      <c r="J690" s="94"/>
      <c r="K690" s="94"/>
      <c r="L690" s="94"/>
      <c r="M690" s="94"/>
      <c r="N690" s="94"/>
      <c r="O690" s="94"/>
      <c r="P690" s="94"/>
      <c r="Q690" s="94"/>
      <c r="R690" s="94"/>
      <c r="S690" s="94"/>
      <c r="T690" s="94"/>
      <c r="U690" s="94"/>
      <c r="V690" s="94"/>
      <c r="W690" s="94"/>
      <c r="X690" s="94"/>
      <c r="Y690" s="38"/>
    </row>
    <row r="691" spans="1:25" ht="15.75" customHeight="1">
      <c r="A691" s="94"/>
      <c r="B691" s="94"/>
      <c r="C691" s="94"/>
      <c r="D691" s="94"/>
      <c r="E691" s="179"/>
      <c r="F691" s="94"/>
      <c r="G691" s="94"/>
      <c r="H691" s="94"/>
      <c r="I691" s="94"/>
      <c r="J691" s="94"/>
      <c r="K691" s="94"/>
      <c r="L691" s="94"/>
      <c r="M691" s="94"/>
      <c r="N691" s="94"/>
      <c r="O691" s="94"/>
      <c r="P691" s="94"/>
      <c r="Q691" s="94"/>
      <c r="R691" s="94"/>
      <c r="S691" s="94"/>
      <c r="T691" s="94"/>
      <c r="U691" s="94"/>
      <c r="V691" s="94"/>
      <c r="W691" s="94"/>
      <c r="X691" s="94"/>
      <c r="Y691" s="38"/>
    </row>
    <row r="692" spans="1:25" ht="15.75" customHeight="1">
      <c r="A692" s="94"/>
      <c r="B692" s="94"/>
      <c r="C692" s="94"/>
      <c r="D692" s="94"/>
      <c r="E692" s="179"/>
      <c r="F692" s="94"/>
      <c r="G692" s="94"/>
      <c r="H692" s="94"/>
      <c r="I692" s="94"/>
      <c r="J692" s="94"/>
      <c r="K692" s="94"/>
      <c r="L692" s="94"/>
      <c r="M692" s="94"/>
      <c r="N692" s="94"/>
      <c r="O692" s="94"/>
      <c r="P692" s="94"/>
      <c r="Q692" s="94"/>
      <c r="R692" s="94"/>
      <c r="S692" s="94"/>
      <c r="T692" s="94"/>
      <c r="U692" s="94"/>
      <c r="V692" s="94"/>
      <c r="W692" s="94"/>
      <c r="X692" s="94"/>
      <c r="Y692" s="38"/>
    </row>
    <row r="693" spans="1:25" ht="15.75" customHeight="1">
      <c r="A693" s="94"/>
      <c r="B693" s="94"/>
      <c r="C693" s="94"/>
      <c r="D693" s="94"/>
      <c r="E693" s="179"/>
      <c r="F693" s="94"/>
      <c r="G693" s="94"/>
      <c r="H693" s="94"/>
      <c r="I693" s="94"/>
      <c r="J693" s="94"/>
      <c r="K693" s="94"/>
      <c r="L693" s="94"/>
      <c r="M693" s="94"/>
      <c r="N693" s="94"/>
      <c r="O693" s="94"/>
      <c r="P693" s="94"/>
      <c r="Q693" s="94"/>
      <c r="R693" s="94"/>
      <c r="S693" s="94"/>
      <c r="T693" s="94"/>
      <c r="U693" s="94"/>
      <c r="V693" s="94"/>
      <c r="W693" s="94"/>
      <c r="X693" s="94"/>
      <c r="Y693" s="38"/>
    </row>
    <row r="694" spans="1:25" ht="15.75" customHeight="1">
      <c r="A694" s="94"/>
      <c r="B694" s="94"/>
      <c r="C694" s="94"/>
      <c r="D694" s="94"/>
      <c r="E694" s="179"/>
      <c r="F694" s="94"/>
      <c r="G694" s="94"/>
      <c r="H694" s="94"/>
      <c r="I694" s="94"/>
      <c r="J694" s="94"/>
      <c r="K694" s="94"/>
      <c r="L694" s="94"/>
      <c r="M694" s="94"/>
      <c r="N694" s="94"/>
      <c r="O694" s="94"/>
      <c r="P694" s="94"/>
      <c r="Q694" s="94"/>
      <c r="R694" s="94"/>
      <c r="S694" s="94"/>
      <c r="T694" s="94"/>
      <c r="U694" s="94"/>
      <c r="V694" s="94"/>
      <c r="W694" s="94"/>
      <c r="X694" s="94"/>
      <c r="Y694" s="38"/>
    </row>
    <row r="695" spans="1:25" ht="15.75" customHeight="1">
      <c r="A695" s="94"/>
      <c r="B695" s="94"/>
      <c r="C695" s="94"/>
      <c r="D695" s="94"/>
      <c r="E695" s="179"/>
      <c r="F695" s="94"/>
      <c r="G695" s="94"/>
      <c r="H695" s="94"/>
      <c r="I695" s="94"/>
      <c r="J695" s="94"/>
      <c r="K695" s="94"/>
      <c r="L695" s="94"/>
      <c r="M695" s="94"/>
      <c r="N695" s="94"/>
      <c r="O695" s="94"/>
      <c r="P695" s="94"/>
      <c r="Q695" s="94"/>
      <c r="R695" s="94"/>
      <c r="S695" s="94"/>
      <c r="T695" s="94"/>
      <c r="U695" s="94"/>
      <c r="V695" s="94"/>
      <c r="W695" s="94"/>
      <c r="X695" s="94"/>
      <c r="Y695" s="38"/>
    </row>
    <row r="696" spans="1:25" ht="15.75" customHeight="1">
      <c r="A696" s="94"/>
      <c r="B696" s="94"/>
      <c r="C696" s="94"/>
      <c r="D696" s="94"/>
      <c r="E696" s="179"/>
      <c r="F696" s="94"/>
      <c r="G696" s="94"/>
      <c r="H696" s="94"/>
      <c r="I696" s="94"/>
      <c r="J696" s="94"/>
      <c r="K696" s="94"/>
      <c r="L696" s="94"/>
      <c r="M696" s="94"/>
      <c r="N696" s="94"/>
      <c r="O696" s="94"/>
      <c r="P696" s="94"/>
      <c r="Q696" s="94"/>
      <c r="R696" s="94"/>
      <c r="S696" s="94"/>
      <c r="T696" s="94"/>
      <c r="U696" s="94"/>
      <c r="V696" s="94"/>
      <c r="W696" s="94"/>
      <c r="X696" s="94"/>
      <c r="Y696" s="38"/>
    </row>
    <row r="697" spans="1:25" ht="15.75" customHeight="1">
      <c r="A697" s="94"/>
      <c r="B697" s="94"/>
      <c r="C697" s="94"/>
      <c r="D697" s="94"/>
      <c r="E697" s="179"/>
      <c r="F697" s="94"/>
      <c r="G697" s="94"/>
      <c r="H697" s="94"/>
      <c r="I697" s="94"/>
      <c r="J697" s="94"/>
      <c r="K697" s="94"/>
      <c r="L697" s="94"/>
      <c r="M697" s="94"/>
      <c r="N697" s="94"/>
      <c r="O697" s="94"/>
      <c r="P697" s="94"/>
      <c r="Q697" s="94"/>
      <c r="R697" s="94"/>
      <c r="S697" s="94"/>
      <c r="T697" s="94"/>
      <c r="U697" s="94"/>
      <c r="V697" s="94"/>
      <c r="W697" s="94"/>
      <c r="X697" s="94"/>
      <c r="Y697" s="38"/>
    </row>
    <row r="698" spans="1:25" ht="15.75" customHeight="1">
      <c r="A698" s="94"/>
      <c r="B698" s="94"/>
      <c r="C698" s="94"/>
      <c r="D698" s="94"/>
      <c r="E698" s="179"/>
      <c r="F698" s="94"/>
      <c r="G698" s="94"/>
      <c r="H698" s="94"/>
      <c r="I698" s="94"/>
      <c r="J698" s="94"/>
      <c r="K698" s="94"/>
      <c r="L698" s="94"/>
      <c r="M698" s="94"/>
      <c r="N698" s="94"/>
      <c r="O698" s="94"/>
      <c r="P698" s="94"/>
      <c r="Q698" s="94"/>
      <c r="R698" s="94"/>
      <c r="S698" s="94"/>
      <c r="T698" s="94"/>
      <c r="U698" s="94"/>
      <c r="V698" s="94"/>
      <c r="W698" s="94"/>
      <c r="X698" s="94"/>
      <c r="Y698" s="38"/>
    </row>
    <row r="699" spans="1:25" ht="15.75" customHeight="1">
      <c r="A699" s="94"/>
      <c r="B699" s="94"/>
      <c r="C699" s="94"/>
      <c r="D699" s="94"/>
      <c r="E699" s="179"/>
      <c r="F699" s="94"/>
      <c r="G699" s="94"/>
      <c r="H699" s="94"/>
      <c r="I699" s="94"/>
      <c r="J699" s="94"/>
      <c r="K699" s="94"/>
      <c r="L699" s="94"/>
      <c r="M699" s="94"/>
      <c r="N699" s="94"/>
      <c r="O699" s="94"/>
      <c r="P699" s="94"/>
      <c r="Q699" s="94"/>
      <c r="R699" s="94"/>
      <c r="S699" s="94"/>
      <c r="T699" s="94"/>
      <c r="U699" s="94"/>
      <c r="V699" s="94"/>
      <c r="W699" s="94"/>
      <c r="X699" s="94"/>
      <c r="Y699" s="38"/>
    </row>
    <row r="700" spans="1:25" ht="15.75" customHeight="1">
      <c r="A700" s="94"/>
      <c r="B700" s="94"/>
      <c r="C700" s="94"/>
      <c r="D700" s="94"/>
      <c r="E700" s="179"/>
      <c r="F700" s="94"/>
      <c r="G700" s="94"/>
      <c r="H700" s="94"/>
      <c r="I700" s="94"/>
      <c r="J700" s="94"/>
      <c r="K700" s="94"/>
      <c r="L700" s="94"/>
      <c r="M700" s="94"/>
      <c r="N700" s="94"/>
      <c r="O700" s="94"/>
      <c r="P700" s="94"/>
      <c r="Q700" s="94"/>
      <c r="R700" s="94"/>
      <c r="S700" s="94"/>
      <c r="T700" s="94"/>
      <c r="U700" s="94"/>
      <c r="V700" s="94"/>
      <c r="W700" s="94"/>
      <c r="X700" s="94"/>
      <c r="Y700" s="38"/>
    </row>
    <row r="701" spans="1:25" ht="15.75" customHeight="1">
      <c r="A701" s="94"/>
      <c r="B701" s="94"/>
      <c r="C701" s="94"/>
      <c r="D701" s="94"/>
      <c r="E701" s="179"/>
      <c r="F701" s="94"/>
      <c r="G701" s="94"/>
      <c r="H701" s="94"/>
      <c r="I701" s="94"/>
      <c r="J701" s="94"/>
      <c r="K701" s="94"/>
      <c r="L701" s="94"/>
      <c r="M701" s="94"/>
      <c r="N701" s="94"/>
      <c r="O701" s="94"/>
      <c r="P701" s="94"/>
      <c r="Q701" s="94"/>
      <c r="R701" s="94"/>
      <c r="S701" s="94"/>
      <c r="T701" s="94"/>
      <c r="U701" s="94"/>
      <c r="V701" s="94"/>
      <c r="W701" s="94"/>
      <c r="X701" s="94"/>
      <c r="Y701" s="38"/>
    </row>
    <row r="702" spans="1:25" ht="15.75" customHeight="1">
      <c r="A702" s="94"/>
      <c r="B702" s="94"/>
      <c r="C702" s="94"/>
      <c r="D702" s="94"/>
      <c r="E702" s="179"/>
      <c r="F702" s="94"/>
      <c r="G702" s="94"/>
      <c r="H702" s="94"/>
      <c r="I702" s="94"/>
      <c r="J702" s="94"/>
      <c r="K702" s="94"/>
      <c r="L702" s="94"/>
      <c r="M702" s="94"/>
      <c r="N702" s="94"/>
      <c r="O702" s="94"/>
      <c r="P702" s="94"/>
      <c r="Q702" s="94"/>
      <c r="R702" s="94"/>
      <c r="S702" s="94"/>
      <c r="T702" s="94"/>
      <c r="U702" s="94"/>
      <c r="V702" s="94"/>
      <c r="W702" s="94"/>
      <c r="X702" s="94"/>
      <c r="Y702" s="38"/>
    </row>
    <row r="703" spans="1:25" ht="15.75" customHeight="1">
      <c r="A703" s="94"/>
      <c r="B703" s="94"/>
      <c r="C703" s="94"/>
      <c r="D703" s="94"/>
      <c r="E703" s="179"/>
      <c r="F703" s="94"/>
      <c r="G703" s="94"/>
      <c r="H703" s="94"/>
      <c r="I703" s="94"/>
      <c r="J703" s="94"/>
      <c r="K703" s="94"/>
      <c r="L703" s="94"/>
      <c r="M703" s="94"/>
      <c r="N703" s="94"/>
      <c r="O703" s="94"/>
      <c r="P703" s="94"/>
      <c r="Q703" s="94"/>
      <c r="R703" s="94"/>
      <c r="S703" s="94"/>
      <c r="T703" s="94"/>
      <c r="U703" s="94"/>
      <c r="V703" s="94"/>
      <c r="W703" s="94"/>
      <c r="X703" s="94"/>
      <c r="Y703" s="38"/>
    </row>
    <row r="704" spans="1:25" ht="15.75" customHeight="1">
      <c r="A704" s="94"/>
      <c r="B704" s="94"/>
      <c r="C704" s="94"/>
      <c r="D704" s="94"/>
      <c r="E704" s="179"/>
      <c r="F704" s="94"/>
      <c r="G704" s="94"/>
      <c r="H704" s="94"/>
      <c r="I704" s="94"/>
      <c r="J704" s="94"/>
      <c r="K704" s="94"/>
      <c r="L704" s="94"/>
      <c r="M704" s="94"/>
      <c r="N704" s="94"/>
      <c r="O704" s="94"/>
      <c r="P704" s="94"/>
      <c r="Q704" s="94"/>
      <c r="R704" s="94"/>
      <c r="S704" s="94"/>
      <c r="T704" s="94"/>
      <c r="U704" s="94"/>
      <c r="V704" s="94"/>
      <c r="W704" s="94"/>
      <c r="X704" s="94"/>
      <c r="Y704" s="38"/>
    </row>
    <row r="705" spans="1:25" ht="15.75" customHeight="1">
      <c r="A705" s="94"/>
      <c r="B705" s="94"/>
      <c r="C705" s="94"/>
      <c r="D705" s="94"/>
      <c r="E705" s="179"/>
      <c r="F705" s="94"/>
      <c r="G705" s="94"/>
      <c r="H705" s="94"/>
      <c r="I705" s="94"/>
      <c r="J705" s="94"/>
      <c r="K705" s="94"/>
      <c r="L705" s="94"/>
      <c r="M705" s="94"/>
      <c r="N705" s="94"/>
      <c r="O705" s="94"/>
      <c r="P705" s="94"/>
      <c r="Q705" s="94"/>
      <c r="R705" s="94"/>
      <c r="S705" s="94"/>
      <c r="T705" s="94"/>
      <c r="U705" s="94"/>
      <c r="V705" s="94"/>
      <c r="W705" s="94"/>
      <c r="X705" s="94"/>
      <c r="Y705" s="38"/>
    </row>
    <row r="706" spans="1:25" ht="15.75" customHeight="1">
      <c r="A706" s="94"/>
      <c r="B706" s="94"/>
      <c r="C706" s="94"/>
      <c r="D706" s="94"/>
      <c r="E706" s="179"/>
      <c r="F706" s="94"/>
      <c r="G706" s="94"/>
      <c r="H706" s="94"/>
      <c r="I706" s="94"/>
      <c r="J706" s="94"/>
      <c r="K706" s="94"/>
      <c r="L706" s="94"/>
      <c r="M706" s="94"/>
      <c r="N706" s="94"/>
      <c r="O706" s="94"/>
      <c r="P706" s="94"/>
      <c r="Q706" s="94"/>
      <c r="R706" s="94"/>
      <c r="S706" s="94"/>
      <c r="T706" s="94"/>
      <c r="U706" s="94"/>
      <c r="V706" s="94"/>
      <c r="W706" s="94"/>
      <c r="X706" s="94"/>
      <c r="Y706" s="38"/>
    </row>
    <row r="707" spans="1:25" ht="15.75" customHeight="1">
      <c r="A707" s="94"/>
      <c r="B707" s="94"/>
      <c r="C707" s="94"/>
      <c r="D707" s="94"/>
      <c r="E707" s="179"/>
      <c r="F707" s="94"/>
      <c r="G707" s="94"/>
      <c r="H707" s="94"/>
      <c r="I707" s="94"/>
      <c r="J707" s="94"/>
      <c r="K707" s="94"/>
      <c r="L707" s="94"/>
      <c r="M707" s="94"/>
      <c r="N707" s="94"/>
      <c r="O707" s="94"/>
      <c r="P707" s="94"/>
      <c r="Q707" s="94"/>
      <c r="R707" s="94"/>
      <c r="S707" s="94"/>
      <c r="T707" s="94"/>
      <c r="U707" s="94"/>
      <c r="V707" s="94"/>
      <c r="W707" s="94"/>
      <c r="X707" s="94"/>
      <c r="Y707" s="38"/>
    </row>
    <row r="708" spans="1:25" ht="15.75" customHeight="1">
      <c r="A708" s="94"/>
      <c r="B708" s="94"/>
      <c r="C708" s="94"/>
      <c r="D708" s="94"/>
      <c r="E708" s="179"/>
      <c r="F708" s="94"/>
      <c r="G708" s="94"/>
      <c r="H708" s="94"/>
      <c r="I708" s="94"/>
      <c r="J708" s="94"/>
      <c r="K708" s="94"/>
      <c r="L708" s="94"/>
      <c r="M708" s="94"/>
      <c r="N708" s="94"/>
      <c r="O708" s="94"/>
      <c r="P708" s="94"/>
      <c r="Q708" s="94"/>
      <c r="R708" s="94"/>
      <c r="S708" s="94"/>
      <c r="T708" s="94"/>
      <c r="U708" s="94"/>
      <c r="V708" s="94"/>
      <c r="W708" s="94"/>
      <c r="X708" s="94"/>
      <c r="Y708" s="38"/>
    </row>
    <row r="709" spans="1:25" ht="15.75" customHeight="1">
      <c r="A709" s="94"/>
      <c r="B709" s="94"/>
      <c r="C709" s="94"/>
      <c r="D709" s="94"/>
      <c r="E709" s="179"/>
      <c r="F709" s="94"/>
      <c r="G709" s="94"/>
      <c r="H709" s="94"/>
      <c r="I709" s="94"/>
      <c r="J709" s="94"/>
      <c r="K709" s="94"/>
      <c r="L709" s="94"/>
      <c r="M709" s="94"/>
      <c r="N709" s="94"/>
      <c r="O709" s="94"/>
      <c r="P709" s="94"/>
      <c r="Q709" s="94"/>
      <c r="R709" s="94"/>
      <c r="S709" s="94"/>
      <c r="T709" s="94"/>
      <c r="U709" s="94"/>
      <c r="V709" s="94"/>
      <c r="W709" s="94"/>
      <c r="X709" s="94"/>
      <c r="Y709" s="38"/>
    </row>
    <row r="710" spans="1:25" ht="15.75" customHeight="1">
      <c r="A710" s="94"/>
      <c r="B710" s="94"/>
      <c r="C710" s="94"/>
      <c r="D710" s="94"/>
      <c r="E710" s="179"/>
      <c r="F710" s="94"/>
      <c r="G710" s="94"/>
      <c r="H710" s="94"/>
      <c r="I710" s="94"/>
      <c r="J710" s="94"/>
      <c r="K710" s="94"/>
      <c r="L710" s="94"/>
      <c r="M710" s="94"/>
      <c r="N710" s="94"/>
      <c r="O710" s="94"/>
      <c r="P710" s="94"/>
      <c r="Q710" s="94"/>
      <c r="R710" s="94"/>
      <c r="S710" s="94"/>
      <c r="T710" s="94"/>
      <c r="U710" s="94"/>
      <c r="V710" s="94"/>
      <c r="W710" s="94"/>
      <c r="X710" s="94"/>
      <c r="Y710" s="38"/>
    </row>
    <row r="711" spans="1:25" ht="15.75" customHeight="1">
      <c r="A711" s="94"/>
      <c r="B711" s="94"/>
      <c r="C711" s="94"/>
      <c r="D711" s="94"/>
      <c r="E711" s="179"/>
      <c r="F711" s="94"/>
      <c r="G711" s="94"/>
      <c r="H711" s="94"/>
      <c r="I711" s="94"/>
      <c r="J711" s="94"/>
      <c r="K711" s="94"/>
      <c r="L711" s="94"/>
      <c r="M711" s="94"/>
      <c r="N711" s="94"/>
      <c r="O711" s="94"/>
      <c r="P711" s="94"/>
      <c r="Q711" s="94"/>
      <c r="R711" s="94"/>
      <c r="S711" s="94"/>
      <c r="T711" s="94"/>
      <c r="U711" s="94"/>
      <c r="V711" s="94"/>
      <c r="W711" s="94"/>
      <c r="X711" s="94"/>
      <c r="Y711" s="38"/>
    </row>
    <row r="712" spans="1:25" ht="15.75" customHeight="1">
      <c r="A712" s="94"/>
      <c r="B712" s="94"/>
      <c r="C712" s="94"/>
      <c r="D712" s="94"/>
      <c r="E712" s="179"/>
      <c r="F712" s="94"/>
      <c r="G712" s="94"/>
      <c r="H712" s="94"/>
      <c r="I712" s="94"/>
      <c r="J712" s="94"/>
      <c r="K712" s="94"/>
      <c r="L712" s="94"/>
      <c r="M712" s="94"/>
      <c r="N712" s="94"/>
      <c r="O712" s="94"/>
      <c r="P712" s="94"/>
      <c r="Q712" s="94"/>
      <c r="R712" s="94"/>
      <c r="S712" s="94"/>
      <c r="T712" s="94"/>
      <c r="U712" s="94"/>
      <c r="V712" s="94"/>
      <c r="W712" s="94"/>
      <c r="X712" s="94"/>
      <c r="Y712" s="38"/>
    </row>
    <row r="713" spans="1:25" ht="15.75" customHeight="1">
      <c r="A713" s="94"/>
      <c r="B713" s="94"/>
      <c r="C713" s="94"/>
      <c r="D713" s="94"/>
      <c r="E713" s="179"/>
      <c r="F713" s="94"/>
      <c r="G713" s="94"/>
      <c r="H713" s="94"/>
      <c r="I713" s="94"/>
      <c r="J713" s="94"/>
      <c r="K713" s="94"/>
      <c r="L713" s="94"/>
      <c r="M713" s="94"/>
      <c r="N713" s="94"/>
      <c r="O713" s="94"/>
      <c r="P713" s="94"/>
      <c r="Q713" s="94"/>
      <c r="R713" s="94"/>
      <c r="S713" s="94"/>
      <c r="T713" s="94"/>
      <c r="U713" s="94"/>
      <c r="V713" s="94"/>
      <c r="W713" s="94"/>
      <c r="X713" s="94"/>
      <c r="Y713" s="38"/>
    </row>
    <row r="714" spans="1:25" ht="15.75" customHeight="1">
      <c r="A714" s="94"/>
      <c r="B714" s="94"/>
      <c r="C714" s="94"/>
      <c r="D714" s="94"/>
      <c r="E714" s="179"/>
      <c r="F714" s="94"/>
      <c r="G714" s="94"/>
      <c r="H714" s="94"/>
      <c r="I714" s="94"/>
      <c r="J714" s="94"/>
      <c r="K714" s="94"/>
      <c r="L714" s="94"/>
      <c r="M714" s="94"/>
      <c r="N714" s="94"/>
      <c r="O714" s="94"/>
      <c r="P714" s="94"/>
      <c r="Q714" s="94"/>
      <c r="R714" s="94"/>
      <c r="S714" s="94"/>
      <c r="T714" s="94"/>
      <c r="U714" s="94"/>
      <c r="V714" s="94"/>
      <c r="W714" s="94"/>
      <c r="X714" s="94"/>
      <c r="Y714" s="38"/>
    </row>
    <row r="715" spans="1:25" ht="15.75" customHeight="1">
      <c r="A715" s="94"/>
      <c r="B715" s="94"/>
      <c r="C715" s="94"/>
      <c r="D715" s="94"/>
      <c r="E715" s="179"/>
      <c r="F715" s="94"/>
      <c r="G715" s="94"/>
      <c r="H715" s="94"/>
      <c r="I715" s="94"/>
      <c r="J715" s="94"/>
      <c r="K715" s="94"/>
      <c r="L715" s="94"/>
      <c r="M715" s="94"/>
      <c r="N715" s="94"/>
      <c r="O715" s="94"/>
      <c r="P715" s="94"/>
      <c r="Q715" s="94"/>
      <c r="R715" s="94"/>
      <c r="S715" s="94"/>
      <c r="T715" s="94"/>
      <c r="U715" s="94"/>
      <c r="V715" s="94"/>
      <c r="W715" s="94"/>
      <c r="X715" s="94"/>
      <c r="Y715" s="38"/>
    </row>
    <row r="716" spans="1:25" ht="15.75" customHeight="1">
      <c r="A716" s="94"/>
      <c r="B716" s="94"/>
      <c r="C716" s="94"/>
      <c r="D716" s="94"/>
      <c r="E716" s="179"/>
      <c r="F716" s="94"/>
      <c r="G716" s="94"/>
      <c r="H716" s="94"/>
      <c r="I716" s="94"/>
      <c r="J716" s="94"/>
      <c r="K716" s="94"/>
      <c r="L716" s="94"/>
      <c r="M716" s="94"/>
      <c r="N716" s="94"/>
      <c r="O716" s="94"/>
      <c r="P716" s="94"/>
      <c r="Q716" s="94"/>
      <c r="R716" s="94"/>
      <c r="S716" s="94"/>
      <c r="T716" s="94"/>
      <c r="U716" s="94"/>
      <c r="V716" s="94"/>
      <c r="W716" s="94"/>
      <c r="X716" s="94"/>
      <c r="Y716" s="38"/>
    </row>
    <row r="717" spans="1:25" ht="15.75" customHeight="1">
      <c r="A717" s="94"/>
      <c r="B717" s="94"/>
      <c r="C717" s="94"/>
      <c r="D717" s="94"/>
      <c r="E717" s="179"/>
      <c r="F717" s="94"/>
      <c r="G717" s="94"/>
      <c r="H717" s="94"/>
      <c r="I717" s="94"/>
      <c r="J717" s="94"/>
      <c r="K717" s="94"/>
      <c r="L717" s="94"/>
      <c r="M717" s="94"/>
      <c r="N717" s="94"/>
      <c r="O717" s="94"/>
      <c r="P717" s="94"/>
      <c r="Q717" s="94"/>
      <c r="R717" s="94"/>
      <c r="S717" s="94"/>
      <c r="T717" s="94"/>
      <c r="U717" s="94"/>
      <c r="V717" s="94"/>
      <c r="W717" s="94"/>
      <c r="X717" s="94"/>
      <c r="Y717" s="38"/>
    </row>
    <row r="718" spans="1:25" ht="15.75" customHeight="1">
      <c r="A718" s="94"/>
      <c r="B718" s="94"/>
      <c r="C718" s="94"/>
      <c r="D718" s="94"/>
      <c r="E718" s="179"/>
      <c r="F718" s="94"/>
      <c r="G718" s="94"/>
      <c r="H718" s="94"/>
      <c r="I718" s="94"/>
      <c r="J718" s="94"/>
      <c r="K718" s="94"/>
      <c r="L718" s="94"/>
      <c r="M718" s="94"/>
      <c r="N718" s="94"/>
      <c r="O718" s="94"/>
      <c r="P718" s="94"/>
      <c r="Q718" s="94"/>
      <c r="R718" s="94"/>
      <c r="S718" s="94"/>
      <c r="T718" s="94"/>
      <c r="U718" s="94"/>
      <c r="V718" s="94"/>
      <c r="W718" s="94"/>
      <c r="X718" s="94"/>
      <c r="Y718" s="38"/>
    </row>
    <row r="719" spans="1:25" ht="15.75" customHeight="1">
      <c r="A719" s="94"/>
      <c r="B719" s="94"/>
      <c r="C719" s="94"/>
      <c r="D719" s="94"/>
      <c r="E719" s="179"/>
      <c r="F719" s="94"/>
      <c r="G719" s="94"/>
      <c r="H719" s="94"/>
      <c r="I719" s="94"/>
      <c r="J719" s="94"/>
      <c r="K719" s="94"/>
      <c r="L719" s="94"/>
      <c r="M719" s="94"/>
      <c r="N719" s="94"/>
      <c r="O719" s="94"/>
      <c r="P719" s="94"/>
      <c r="Q719" s="94"/>
      <c r="R719" s="94"/>
      <c r="S719" s="94"/>
      <c r="T719" s="94"/>
      <c r="U719" s="94"/>
      <c r="V719" s="94"/>
      <c r="W719" s="94"/>
      <c r="X719" s="94"/>
      <c r="Y719" s="38"/>
    </row>
    <row r="720" spans="1:25" ht="15.75" customHeight="1">
      <c r="A720" s="94"/>
      <c r="B720" s="94"/>
      <c r="C720" s="94"/>
      <c r="D720" s="94"/>
      <c r="E720" s="179"/>
      <c r="F720" s="94"/>
      <c r="G720" s="94"/>
      <c r="H720" s="94"/>
      <c r="I720" s="94"/>
      <c r="J720" s="94"/>
      <c r="K720" s="94"/>
      <c r="L720" s="94"/>
      <c r="M720" s="94"/>
      <c r="N720" s="94"/>
      <c r="O720" s="94"/>
      <c r="P720" s="94"/>
      <c r="Q720" s="94"/>
      <c r="R720" s="94"/>
      <c r="S720" s="94"/>
      <c r="T720" s="94"/>
      <c r="U720" s="94"/>
      <c r="V720" s="94"/>
      <c r="W720" s="94"/>
      <c r="X720" s="94"/>
      <c r="Y720" s="38"/>
    </row>
    <row r="721" spans="1:25" ht="15.75" customHeight="1">
      <c r="A721" s="94"/>
      <c r="B721" s="94"/>
      <c r="C721" s="94"/>
      <c r="D721" s="94"/>
      <c r="E721" s="179"/>
      <c r="F721" s="94"/>
      <c r="G721" s="94"/>
      <c r="H721" s="94"/>
      <c r="I721" s="94"/>
      <c r="J721" s="94"/>
      <c r="K721" s="94"/>
      <c r="L721" s="94"/>
      <c r="M721" s="94"/>
      <c r="N721" s="94"/>
      <c r="O721" s="94"/>
      <c r="P721" s="94"/>
      <c r="Q721" s="94"/>
      <c r="R721" s="94"/>
      <c r="S721" s="94"/>
      <c r="T721" s="94"/>
      <c r="U721" s="94"/>
      <c r="V721" s="94"/>
      <c r="W721" s="94"/>
      <c r="X721" s="94"/>
      <c r="Y721" s="38"/>
    </row>
    <row r="722" spans="1:25" ht="15.75" customHeight="1">
      <c r="A722" s="94"/>
      <c r="B722" s="94"/>
      <c r="C722" s="94"/>
      <c r="D722" s="94"/>
      <c r="E722" s="179"/>
      <c r="F722" s="94"/>
      <c r="G722" s="94"/>
      <c r="H722" s="94"/>
      <c r="I722" s="94"/>
      <c r="J722" s="94"/>
      <c r="K722" s="94"/>
      <c r="L722" s="94"/>
      <c r="M722" s="94"/>
      <c r="N722" s="94"/>
      <c r="O722" s="94"/>
      <c r="P722" s="94"/>
      <c r="Q722" s="94"/>
      <c r="R722" s="94"/>
      <c r="S722" s="94"/>
      <c r="T722" s="94"/>
      <c r="U722" s="94"/>
      <c r="V722" s="94"/>
      <c r="W722" s="94"/>
      <c r="X722" s="94"/>
      <c r="Y722" s="38"/>
    </row>
    <row r="723" spans="1:25" ht="15.75" customHeight="1">
      <c r="A723" s="94"/>
      <c r="B723" s="94"/>
      <c r="C723" s="94"/>
      <c r="D723" s="94"/>
      <c r="E723" s="179"/>
      <c r="F723" s="94"/>
      <c r="G723" s="94"/>
      <c r="H723" s="94"/>
      <c r="I723" s="94"/>
      <c r="J723" s="94"/>
      <c r="K723" s="94"/>
      <c r="L723" s="94"/>
      <c r="M723" s="94"/>
      <c r="N723" s="94"/>
      <c r="O723" s="94"/>
      <c r="P723" s="94"/>
      <c r="Q723" s="94"/>
      <c r="R723" s="94"/>
      <c r="S723" s="94"/>
      <c r="T723" s="94"/>
      <c r="U723" s="94"/>
      <c r="V723" s="94"/>
      <c r="W723" s="94"/>
      <c r="X723" s="94"/>
      <c r="Y723" s="38"/>
    </row>
    <row r="724" spans="1:25" ht="15.75" customHeight="1">
      <c r="A724" s="94"/>
      <c r="B724" s="94"/>
      <c r="C724" s="94"/>
      <c r="D724" s="94"/>
      <c r="E724" s="179"/>
      <c r="F724" s="94"/>
      <c r="G724" s="94"/>
      <c r="H724" s="94"/>
      <c r="I724" s="94"/>
      <c r="J724" s="94"/>
      <c r="K724" s="94"/>
      <c r="L724" s="94"/>
      <c r="M724" s="94"/>
      <c r="N724" s="94"/>
      <c r="O724" s="94"/>
      <c r="P724" s="94"/>
      <c r="Q724" s="94"/>
      <c r="R724" s="94"/>
      <c r="S724" s="94"/>
      <c r="T724" s="94"/>
      <c r="U724" s="94"/>
      <c r="V724" s="94"/>
      <c r="W724" s="94"/>
      <c r="X724" s="94"/>
      <c r="Y724" s="38"/>
    </row>
    <row r="725" spans="1:25" ht="15.75" customHeight="1">
      <c r="A725" s="94"/>
      <c r="B725" s="94"/>
      <c r="C725" s="94"/>
      <c r="D725" s="94"/>
      <c r="E725" s="179"/>
      <c r="F725" s="94"/>
      <c r="G725" s="94"/>
      <c r="H725" s="94"/>
      <c r="I725" s="94"/>
      <c r="J725" s="94"/>
      <c r="K725" s="94"/>
      <c r="L725" s="94"/>
      <c r="M725" s="94"/>
      <c r="N725" s="94"/>
      <c r="O725" s="94"/>
      <c r="P725" s="94"/>
      <c r="Q725" s="94"/>
      <c r="R725" s="94"/>
      <c r="S725" s="94"/>
      <c r="T725" s="94"/>
      <c r="U725" s="94"/>
      <c r="V725" s="94"/>
      <c r="W725" s="94"/>
      <c r="X725" s="94"/>
      <c r="Y725" s="38"/>
    </row>
    <row r="726" spans="1:25" ht="15.75" customHeight="1">
      <c r="A726" s="94"/>
      <c r="B726" s="94"/>
      <c r="C726" s="94"/>
      <c r="D726" s="94"/>
      <c r="E726" s="179"/>
      <c r="F726" s="94"/>
      <c r="G726" s="94"/>
      <c r="H726" s="94"/>
      <c r="I726" s="94"/>
      <c r="J726" s="94"/>
      <c r="K726" s="94"/>
      <c r="L726" s="94"/>
      <c r="M726" s="94"/>
      <c r="N726" s="94"/>
      <c r="O726" s="94"/>
      <c r="P726" s="94"/>
      <c r="Q726" s="94"/>
      <c r="R726" s="94"/>
      <c r="S726" s="94"/>
      <c r="T726" s="94"/>
      <c r="U726" s="94"/>
      <c r="V726" s="94"/>
      <c r="W726" s="94"/>
      <c r="X726" s="94"/>
      <c r="Y726" s="38"/>
    </row>
    <row r="727" spans="1:25" ht="15.75" customHeight="1">
      <c r="A727" s="94"/>
      <c r="B727" s="94"/>
      <c r="C727" s="94"/>
      <c r="D727" s="94"/>
      <c r="E727" s="179"/>
      <c r="F727" s="94"/>
      <c r="G727" s="94"/>
      <c r="H727" s="94"/>
      <c r="I727" s="94"/>
      <c r="J727" s="94"/>
      <c r="K727" s="94"/>
      <c r="L727" s="94"/>
      <c r="M727" s="94"/>
      <c r="N727" s="94"/>
      <c r="O727" s="94"/>
      <c r="P727" s="94"/>
      <c r="Q727" s="94"/>
      <c r="R727" s="94"/>
      <c r="S727" s="94"/>
      <c r="T727" s="94"/>
      <c r="U727" s="94"/>
      <c r="V727" s="94"/>
      <c r="W727" s="94"/>
      <c r="X727" s="94"/>
      <c r="Y727" s="38"/>
    </row>
    <row r="728" spans="1:25" ht="15.75" customHeight="1">
      <c r="A728" s="94"/>
      <c r="B728" s="94"/>
      <c r="C728" s="94"/>
      <c r="D728" s="94"/>
      <c r="E728" s="179"/>
      <c r="F728" s="94"/>
      <c r="G728" s="94"/>
      <c r="H728" s="94"/>
      <c r="I728" s="94"/>
      <c r="J728" s="94"/>
      <c r="K728" s="94"/>
      <c r="L728" s="94"/>
      <c r="M728" s="94"/>
      <c r="N728" s="94"/>
      <c r="O728" s="94"/>
      <c r="P728" s="94"/>
      <c r="Q728" s="94"/>
      <c r="R728" s="94"/>
      <c r="S728" s="94"/>
      <c r="T728" s="94"/>
      <c r="U728" s="94"/>
      <c r="V728" s="94"/>
      <c r="W728" s="94"/>
      <c r="X728" s="94"/>
      <c r="Y728" s="38"/>
    </row>
    <row r="729" spans="1:25" ht="15.75" customHeight="1">
      <c r="A729" s="94"/>
      <c r="B729" s="94"/>
      <c r="C729" s="94"/>
      <c r="D729" s="94"/>
      <c r="E729" s="179"/>
      <c r="F729" s="94"/>
      <c r="G729" s="94"/>
      <c r="H729" s="94"/>
      <c r="I729" s="94"/>
      <c r="J729" s="94"/>
      <c r="K729" s="94"/>
      <c r="L729" s="94"/>
      <c r="M729" s="94"/>
      <c r="N729" s="94"/>
      <c r="O729" s="94"/>
      <c r="P729" s="94"/>
      <c r="Q729" s="94"/>
      <c r="R729" s="94"/>
      <c r="S729" s="94"/>
      <c r="T729" s="94"/>
      <c r="U729" s="94"/>
      <c r="V729" s="94"/>
      <c r="W729" s="94"/>
      <c r="X729" s="94"/>
      <c r="Y729" s="38"/>
    </row>
    <row r="730" spans="1:25" ht="15.75" customHeight="1">
      <c r="A730" s="94"/>
      <c r="B730" s="94"/>
      <c r="C730" s="94"/>
      <c r="D730" s="94"/>
      <c r="E730" s="179"/>
      <c r="F730" s="94"/>
      <c r="G730" s="94"/>
      <c r="H730" s="94"/>
      <c r="I730" s="94"/>
      <c r="J730" s="94"/>
      <c r="K730" s="94"/>
      <c r="L730" s="94"/>
      <c r="M730" s="94"/>
      <c r="N730" s="94"/>
      <c r="O730" s="94"/>
      <c r="P730" s="94"/>
      <c r="Q730" s="94"/>
      <c r="R730" s="94"/>
      <c r="S730" s="94"/>
      <c r="T730" s="94"/>
      <c r="U730" s="94"/>
      <c r="V730" s="94"/>
      <c r="W730" s="94"/>
      <c r="X730" s="94"/>
      <c r="Y730" s="38"/>
    </row>
    <row r="731" spans="1:25" ht="15.75" customHeight="1">
      <c r="A731" s="94"/>
      <c r="B731" s="94"/>
      <c r="C731" s="94"/>
      <c r="D731" s="94"/>
      <c r="E731" s="179"/>
      <c r="F731" s="94"/>
      <c r="G731" s="94"/>
      <c r="H731" s="94"/>
      <c r="I731" s="94"/>
      <c r="J731" s="94"/>
      <c r="K731" s="94"/>
      <c r="L731" s="94"/>
      <c r="M731" s="94"/>
      <c r="N731" s="94"/>
      <c r="O731" s="94"/>
      <c r="P731" s="94"/>
      <c r="Q731" s="94"/>
      <c r="R731" s="94"/>
      <c r="S731" s="94"/>
      <c r="T731" s="94"/>
      <c r="U731" s="94"/>
      <c r="V731" s="94"/>
      <c r="W731" s="94"/>
      <c r="X731" s="94"/>
      <c r="Y731" s="38"/>
    </row>
    <row r="732" spans="1:25" ht="15.75" customHeight="1">
      <c r="A732" s="94"/>
      <c r="B732" s="94"/>
      <c r="C732" s="94"/>
      <c r="D732" s="94"/>
      <c r="E732" s="179"/>
      <c r="F732" s="94"/>
      <c r="G732" s="94"/>
      <c r="H732" s="94"/>
      <c r="I732" s="94"/>
      <c r="J732" s="94"/>
      <c r="K732" s="94"/>
      <c r="L732" s="94"/>
      <c r="M732" s="94"/>
      <c r="N732" s="94"/>
      <c r="O732" s="94"/>
      <c r="P732" s="94"/>
      <c r="Q732" s="94"/>
      <c r="R732" s="94"/>
      <c r="S732" s="94"/>
      <c r="T732" s="94"/>
      <c r="U732" s="94"/>
      <c r="V732" s="94"/>
      <c r="W732" s="94"/>
      <c r="X732" s="94"/>
      <c r="Y732" s="38"/>
    </row>
    <row r="733" spans="1:25" ht="15.75" customHeight="1">
      <c r="A733" s="94"/>
      <c r="B733" s="94"/>
      <c r="C733" s="94"/>
      <c r="D733" s="94"/>
      <c r="E733" s="179"/>
      <c r="F733" s="94"/>
      <c r="G733" s="94"/>
      <c r="H733" s="94"/>
      <c r="I733" s="94"/>
      <c r="J733" s="94"/>
      <c r="K733" s="94"/>
      <c r="L733" s="94"/>
      <c r="M733" s="94"/>
      <c r="N733" s="94"/>
      <c r="O733" s="94"/>
      <c r="P733" s="94"/>
      <c r="Q733" s="94"/>
      <c r="R733" s="94"/>
      <c r="S733" s="94"/>
      <c r="T733" s="94"/>
      <c r="U733" s="94"/>
      <c r="V733" s="94"/>
      <c r="W733" s="94"/>
      <c r="X733" s="94"/>
      <c r="Y733" s="38"/>
    </row>
    <row r="734" spans="1:25" ht="15.75" customHeight="1">
      <c r="A734" s="94"/>
      <c r="B734" s="94"/>
      <c r="C734" s="94"/>
      <c r="D734" s="94"/>
      <c r="E734" s="179"/>
      <c r="F734" s="94"/>
      <c r="G734" s="94"/>
      <c r="H734" s="94"/>
      <c r="I734" s="94"/>
      <c r="J734" s="94"/>
      <c r="K734" s="94"/>
      <c r="L734" s="94"/>
      <c r="M734" s="94"/>
      <c r="N734" s="94"/>
      <c r="O734" s="94"/>
      <c r="P734" s="94"/>
      <c r="Q734" s="94"/>
      <c r="R734" s="94"/>
      <c r="S734" s="94"/>
      <c r="T734" s="94"/>
      <c r="U734" s="94"/>
      <c r="V734" s="94"/>
      <c r="W734" s="94"/>
      <c r="X734" s="94"/>
      <c r="Y734" s="38"/>
    </row>
    <row r="735" spans="1:25" ht="15.75" customHeight="1">
      <c r="A735" s="94"/>
      <c r="B735" s="94"/>
      <c r="C735" s="94"/>
      <c r="D735" s="94"/>
      <c r="E735" s="179"/>
      <c r="F735" s="94"/>
      <c r="G735" s="94"/>
      <c r="H735" s="94"/>
      <c r="I735" s="94"/>
      <c r="J735" s="94"/>
      <c r="K735" s="94"/>
      <c r="L735" s="94"/>
      <c r="M735" s="94"/>
      <c r="N735" s="94"/>
      <c r="O735" s="94"/>
      <c r="P735" s="94"/>
      <c r="Q735" s="94"/>
      <c r="R735" s="94"/>
      <c r="S735" s="94"/>
      <c r="T735" s="94"/>
      <c r="U735" s="94"/>
      <c r="V735" s="94"/>
      <c r="W735" s="94"/>
      <c r="X735" s="94"/>
      <c r="Y735" s="38"/>
    </row>
    <row r="736" spans="1:25" ht="15.75" customHeight="1">
      <c r="A736" s="94"/>
      <c r="B736" s="94"/>
      <c r="C736" s="94"/>
      <c r="D736" s="94"/>
      <c r="E736" s="179"/>
      <c r="F736" s="94"/>
      <c r="G736" s="94"/>
      <c r="H736" s="94"/>
      <c r="I736" s="94"/>
      <c r="J736" s="94"/>
      <c r="K736" s="94"/>
      <c r="L736" s="94"/>
      <c r="M736" s="94"/>
      <c r="N736" s="94"/>
      <c r="O736" s="94"/>
      <c r="P736" s="94"/>
      <c r="Q736" s="94"/>
      <c r="R736" s="94"/>
      <c r="S736" s="94"/>
      <c r="T736" s="94"/>
      <c r="U736" s="94"/>
      <c r="V736" s="94"/>
      <c r="W736" s="94"/>
      <c r="X736" s="94"/>
      <c r="Y736" s="38"/>
    </row>
    <row r="737" spans="1:25" ht="15.75" customHeight="1">
      <c r="A737" s="94"/>
      <c r="B737" s="94"/>
      <c r="C737" s="94"/>
      <c r="D737" s="94"/>
      <c r="E737" s="179"/>
      <c r="F737" s="94"/>
      <c r="G737" s="94"/>
      <c r="H737" s="94"/>
      <c r="I737" s="94"/>
      <c r="J737" s="94"/>
      <c r="K737" s="94"/>
      <c r="L737" s="94"/>
      <c r="M737" s="94"/>
      <c r="N737" s="94"/>
      <c r="O737" s="94"/>
      <c r="P737" s="94"/>
      <c r="Q737" s="94"/>
      <c r="R737" s="94"/>
      <c r="S737" s="94"/>
      <c r="T737" s="94"/>
      <c r="U737" s="94"/>
      <c r="V737" s="94"/>
      <c r="W737" s="94"/>
      <c r="X737" s="94"/>
      <c r="Y737" s="38"/>
    </row>
    <row r="738" spans="1:25" ht="15.75" customHeight="1">
      <c r="A738" s="94"/>
      <c r="B738" s="94"/>
      <c r="C738" s="94"/>
      <c r="D738" s="94"/>
      <c r="E738" s="179"/>
      <c r="F738" s="94"/>
      <c r="G738" s="94"/>
      <c r="H738" s="94"/>
      <c r="I738" s="94"/>
      <c r="J738" s="94"/>
      <c r="K738" s="94"/>
      <c r="L738" s="94"/>
      <c r="M738" s="94"/>
      <c r="N738" s="94"/>
      <c r="O738" s="94"/>
      <c r="P738" s="94"/>
      <c r="Q738" s="94"/>
      <c r="R738" s="94"/>
      <c r="S738" s="94"/>
      <c r="T738" s="94"/>
      <c r="U738" s="94"/>
      <c r="V738" s="94"/>
      <c r="W738" s="94"/>
      <c r="X738" s="94"/>
      <c r="Y738" s="38"/>
    </row>
    <row r="739" spans="1:25" ht="15.75" customHeight="1">
      <c r="A739" s="94"/>
      <c r="B739" s="94"/>
      <c r="C739" s="94"/>
      <c r="D739" s="94"/>
      <c r="E739" s="179"/>
      <c r="F739" s="94"/>
      <c r="G739" s="94"/>
      <c r="H739" s="94"/>
      <c r="I739" s="94"/>
      <c r="J739" s="94"/>
      <c r="K739" s="94"/>
      <c r="L739" s="94"/>
      <c r="M739" s="94"/>
      <c r="N739" s="94"/>
      <c r="O739" s="94"/>
      <c r="P739" s="94"/>
      <c r="Q739" s="94"/>
      <c r="R739" s="94"/>
      <c r="S739" s="94"/>
      <c r="T739" s="94"/>
      <c r="U739" s="94"/>
      <c r="V739" s="94"/>
      <c r="W739" s="94"/>
      <c r="X739" s="94"/>
      <c r="Y739" s="38"/>
    </row>
    <row r="740" spans="1:25" ht="15.75" customHeight="1">
      <c r="A740" s="94"/>
      <c r="B740" s="94"/>
      <c r="C740" s="94"/>
      <c r="D740" s="94"/>
      <c r="E740" s="179"/>
      <c r="F740" s="94"/>
      <c r="G740" s="94"/>
      <c r="H740" s="94"/>
      <c r="I740" s="94"/>
      <c r="J740" s="94"/>
      <c r="K740" s="94"/>
      <c r="L740" s="94"/>
      <c r="M740" s="94"/>
      <c r="N740" s="94"/>
      <c r="O740" s="94"/>
      <c r="P740" s="94"/>
      <c r="Q740" s="94"/>
      <c r="R740" s="94"/>
      <c r="S740" s="94"/>
      <c r="T740" s="94"/>
      <c r="U740" s="94"/>
      <c r="V740" s="94"/>
      <c r="W740" s="94"/>
      <c r="X740" s="94"/>
      <c r="Y740" s="38"/>
    </row>
    <row r="741" spans="1:25" ht="15.75" customHeight="1">
      <c r="A741" s="94"/>
      <c r="B741" s="94"/>
      <c r="C741" s="94"/>
      <c r="D741" s="94"/>
      <c r="E741" s="179"/>
      <c r="F741" s="94"/>
      <c r="G741" s="94"/>
      <c r="H741" s="94"/>
      <c r="I741" s="94"/>
      <c r="J741" s="94"/>
      <c r="K741" s="94"/>
      <c r="L741" s="94"/>
      <c r="M741" s="94"/>
      <c r="N741" s="94"/>
      <c r="O741" s="94"/>
      <c r="P741" s="94"/>
      <c r="Q741" s="94"/>
      <c r="R741" s="94"/>
      <c r="S741" s="94"/>
      <c r="T741" s="94"/>
      <c r="U741" s="94"/>
      <c r="V741" s="94"/>
      <c r="W741" s="94"/>
      <c r="X741" s="94"/>
      <c r="Y741" s="38"/>
    </row>
    <row r="742" spans="1:25" ht="15.75" customHeight="1">
      <c r="A742" s="94"/>
      <c r="B742" s="94"/>
      <c r="C742" s="94"/>
      <c r="D742" s="94"/>
      <c r="E742" s="179"/>
      <c r="F742" s="94"/>
      <c r="G742" s="94"/>
      <c r="H742" s="94"/>
      <c r="I742" s="94"/>
      <c r="J742" s="94"/>
      <c r="K742" s="94"/>
      <c r="L742" s="94"/>
      <c r="M742" s="94"/>
      <c r="N742" s="94"/>
      <c r="O742" s="94"/>
      <c r="P742" s="94"/>
      <c r="Q742" s="94"/>
      <c r="R742" s="94"/>
      <c r="S742" s="94"/>
      <c r="T742" s="94"/>
      <c r="U742" s="94"/>
      <c r="V742" s="94"/>
      <c r="W742" s="94"/>
      <c r="X742" s="94"/>
      <c r="Y742" s="38"/>
    </row>
    <row r="743" spans="1:25" ht="15.75" customHeight="1">
      <c r="A743" s="94"/>
      <c r="B743" s="94"/>
      <c r="C743" s="94"/>
      <c r="D743" s="94"/>
      <c r="E743" s="179"/>
      <c r="F743" s="94"/>
      <c r="G743" s="94"/>
      <c r="H743" s="94"/>
      <c r="I743" s="94"/>
      <c r="J743" s="94"/>
      <c r="K743" s="94"/>
      <c r="L743" s="94"/>
      <c r="M743" s="94"/>
      <c r="N743" s="94"/>
      <c r="O743" s="94"/>
      <c r="P743" s="94"/>
      <c r="Q743" s="94"/>
      <c r="R743" s="94"/>
      <c r="S743" s="94"/>
      <c r="T743" s="94"/>
      <c r="U743" s="94"/>
      <c r="V743" s="94"/>
      <c r="W743" s="94"/>
      <c r="X743" s="94"/>
      <c r="Y743" s="38"/>
    </row>
    <row r="744" spans="1:25" ht="15.75" customHeight="1">
      <c r="A744" s="94"/>
      <c r="B744" s="94"/>
      <c r="C744" s="94"/>
      <c r="D744" s="94"/>
      <c r="E744" s="179"/>
      <c r="F744" s="94"/>
      <c r="G744" s="94"/>
      <c r="H744" s="94"/>
      <c r="I744" s="94"/>
      <c r="J744" s="94"/>
      <c r="K744" s="94"/>
      <c r="L744" s="94"/>
      <c r="M744" s="94"/>
      <c r="N744" s="94"/>
      <c r="O744" s="94"/>
      <c r="P744" s="94"/>
      <c r="Q744" s="94"/>
      <c r="R744" s="94"/>
      <c r="S744" s="94"/>
      <c r="T744" s="94"/>
      <c r="U744" s="94"/>
      <c r="V744" s="94"/>
      <c r="W744" s="94"/>
      <c r="X744" s="94"/>
      <c r="Y744" s="38"/>
    </row>
    <row r="745" spans="1:25" ht="15.75" customHeight="1">
      <c r="A745" s="94"/>
      <c r="B745" s="94"/>
      <c r="C745" s="94"/>
      <c r="D745" s="94"/>
      <c r="E745" s="179"/>
      <c r="F745" s="94"/>
      <c r="G745" s="94"/>
      <c r="H745" s="94"/>
      <c r="I745" s="94"/>
      <c r="J745" s="94"/>
      <c r="K745" s="94"/>
      <c r="L745" s="94"/>
      <c r="M745" s="94"/>
      <c r="N745" s="94"/>
      <c r="O745" s="94"/>
      <c r="P745" s="94"/>
      <c r="Q745" s="94"/>
      <c r="R745" s="94"/>
      <c r="S745" s="94"/>
      <c r="T745" s="94"/>
      <c r="U745" s="94"/>
      <c r="V745" s="94"/>
      <c r="W745" s="94"/>
      <c r="X745" s="94"/>
      <c r="Y745" s="38"/>
    </row>
    <row r="746" spans="1:25" ht="15.75" customHeight="1">
      <c r="A746" s="94"/>
      <c r="B746" s="94"/>
      <c r="C746" s="94"/>
      <c r="D746" s="94"/>
      <c r="E746" s="179"/>
      <c r="F746" s="94"/>
      <c r="G746" s="94"/>
      <c r="H746" s="94"/>
      <c r="I746" s="94"/>
      <c r="J746" s="94"/>
      <c r="K746" s="94"/>
      <c r="L746" s="94"/>
      <c r="M746" s="94"/>
      <c r="N746" s="94"/>
      <c r="O746" s="94"/>
      <c r="P746" s="94"/>
      <c r="Q746" s="94"/>
      <c r="R746" s="94"/>
      <c r="S746" s="94"/>
      <c r="T746" s="94"/>
      <c r="U746" s="94"/>
      <c r="V746" s="94"/>
      <c r="W746" s="94"/>
      <c r="X746" s="94"/>
      <c r="Y746" s="38"/>
    </row>
    <row r="747" spans="1:25" ht="15.75" customHeight="1">
      <c r="A747" s="94"/>
      <c r="B747" s="94"/>
      <c r="C747" s="94"/>
      <c r="D747" s="94"/>
      <c r="E747" s="179"/>
      <c r="F747" s="94"/>
      <c r="G747" s="94"/>
      <c r="H747" s="94"/>
      <c r="I747" s="94"/>
      <c r="J747" s="94"/>
      <c r="K747" s="94"/>
      <c r="L747" s="94"/>
      <c r="M747" s="94"/>
      <c r="N747" s="94"/>
      <c r="O747" s="94"/>
      <c r="P747" s="94"/>
      <c r="Q747" s="94"/>
      <c r="R747" s="94"/>
      <c r="S747" s="94"/>
      <c r="T747" s="94"/>
      <c r="U747" s="94"/>
      <c r="V747" s="94"/>
      <c r="W747" s="94"/>
      <c r="X747" s="94"/>
      <c r="Y747" s="38"/>
    </row>
    <row r="748" spans="1:25" ht="15.75" customHeight="1">
      <c r="A748" s="94"/>
      <c r="B748" s="94"/>
      <c r="C748" s="94"/>
      <c r="D748" s="94"/>
      <c r="E748" s="179"/>
      <c r="F748" s="94"/>
      <c r="G748" s="94"/>
      <c r="H748" s="94"/>
      <c r="I748" s="94"/>
      <c r="J748" s="94"/>
      <c r="K748" s="94"/>
      <c r="L748" s="94"/>
      <c r="M748" s="94"/>
      <c r="N748" s="94"/>
      <c r="O748" s="94"/>
      <c r="P748" s="94"/>
      <c r="Q748" s="94"/>
      <c r="R748" s="94"/>
      <c r="S748" s="94"/>
      <c r="T748" s="94"/>
      <c r="U748" s="94"/>
      <c r="V748" s="94"/>
      <c r="W748" s="94"/>
      <c r="X748" s="94"/>
      <c r="Y748" s="38"/>
    </row>
    <row r="749" spans="1:25" ht="15.75" customHeight="1">
      <c r="A749" s="94"/>
      <c r="B749" s="94"/>
      <c r="C749" s="94"/>
      <c r="D749" s="94"/>
      <c r="E749" s="179"/>
      <c r="F749" s="94"/>
      <c r="G749" s="94"/>
      <c r="H749" s="94"/>
      <c r="I749" s="94"/>
      <c r="J749" s="94"/>
      <c r="K749" s="94"/>
      <c r="L749" s="94"/>
      <c r="M749" s="94"/>
      <c r="N749" s="94"/>
      <c r="O749" s="94"/>
      <c r="P749" s="94"/>
      <c r="Q749" s="94"/>
      <c r="R749" s="94"/>
      <c r="S749" s="94"/>
      <c r="T749" s="94"/>
      <c r="U749" s="94"/>
      <c r="V749" s="94"/>
      <c r="W749" s="94"/>
      <c r="X749" s="94"/>
      <c r="Y749" s="38"/>
    </row>
    <row r="750" spans="1:25" ht="15.75" customHeight="1">
      <c r="A750" s="94"/>
      <c r="B750" s="94"/>
      <c r="C750" s="94"/>
      <c r="D750" s="94"/>
      <c r="E750" s="179"/>
      <c r="F750" s="94"/>
      <c r="G750" s="94"/>
      <c r="H750" s="94"/>
      <c r="I750" s="94"/>
      <c r="J750" s="94"/>
      <c r="K750" s="94"/>
      <c r="L750" s="94"/>
      <c r="M750" s="94"/>
      <c r="N750" s="94"/>
      <c r="O750" s="94"/>
      <c r="P750" s="94"/>
      <c r="Q750" s="94"/>
      <c r="R750" s="94"/>
      <c r="S750" s="94"/>
      <c r="T750" s="94"/>
      <c r="U750" s="94"/>
      <c r="V750" s="94"/>
      <c r="W750" s="94"/>
      <c r="X750" s="94"/>
      <c r="Y750" s="38"/>
    </row>
    <row r="751" spans="1:25" ht="15.75" customHeight="1">
      <c r="A751" s="94"/>
      <c r="B751" s="94"/>
      <c r="C751" s="94"/>
      <c r="D751" s="94"/>
      <c r="E751" s="179"/>
      <c r="F751" s="94"/>
      <c r="G751" s="94"/>
      <c r="H751" s="94"/>
      <c r="I751" s="94"/>
      <c r="J751" s="94"/>
      <c r="K751" s="94"/>
      <c r="L751" s="94"/>
      <c r="M751" s="94"/>
      <c r="N751" s="94"/>
      <c r="O751" s="94"/>
      <c r="P751" s="94"/>
      <c r="Q751" s="94"/>
      <c r="R751" s="94"/>
      <c r="S751" s="94"/>
      <c r="T751" s="94"/>
      <c r="U751" s="94"/>
      <c r="V751" s="94"/>
      <c r="W751" s="94"/>
      <c r="X751" s="94"/>
      <c r="Y751" s="38"/>
    </row>
    <row r="752" spans="1:25" ht="15.75" customHeight="1">
      <c r="A752" s="94"/>
      <c r="B752" s="94"/>
      <c r="C752" s="94"/>
      <c r="D752" s="94"/>
      <c r="E752" s="179"/>
      <c r="F752" s="94"/>
      <c r="G752" s="94"/>
      <c r="H752" s="94"/>
      <c r="I752" s="94"/>
      <c r="J752" s="94"/>
      <c r="K752" s="94"/>
      <c r="L752" s="94"/>
      <c r="M752" s="94"/>
      <c r="N752" s="94"/>
      <c r="O752" s="94"/>
      <c r="P752" s="94"/>
      <c r="Q752" s="94"/>
      <c r="R752" s="94"/>
      <c r="S752" s="94"/>
      <c r="T752" s="94"/>
      <c r="U752" s="94"/>
      <c r="V752" s="94"/>
      <c r="W752" s="94"/>
      <c r="X752" s="94"/>
      <c r="Y752" s="38"/>
    </row>
    <row r="753" spans="1:25" ht="15.75" customHeight="1">
      <c r="A753" s="94"/>
      <c r="B753" s="94"/>
      <c r="C753" s="94"/>
      <c r="D753" s="94"/>
      <c r="E753" s="179"/>
      <c r="F753" s="94"/>
      <c r="G753" s="94"/>
      <c r="H753" s="94"/>
      <c r="I753" s="94"/>
      <c r="J753" s="94"/>
      <c r="K753" s="94"/>
      <c r="L753" s="94"/>
      <c r="M753" s="94"/>
      <c r="N753" s="94"/>
      <c r="O753" s="94"/>
      <c r="P753" s="94"/>
      <c r="Q753" s="94"/>
      <c r="R753" s="94"/>
      <c r="S753" s="94"/>
      <c r="T753" s="94"/>
      <c r="U753" s="94"/>
      <c r="V753" s="94"/>
      <c r="W753" s="94"/>
      <c r="X753" s="94"/>
      <c r="Y753" s="38"/>
    </row>
    <row r="754" spans="1:25" ht="15.75" customHeight="1">
      <c r="A754" s="94"/>
      <c r="B754" s="94"/>
      <c r="C754" s="94"/>
      <c r="D754" s="94"/>
      <c r="E754" s="179"/>
      <c r="F754" s="94"/>
      <c r="G754" s="94"/>
      <c r="H754" s="94"/>
      <c r="I754" s="94"/>
      <c r="J754" s="94"/>
      <c r="K754" s="94"/>
      <c r="L754" s="94"/>
      <c r="M754" s="94"/>
      <c r="N754" s="94"/>
      <c r="O754" s="94"/>
      <c r="P754" s="94"/>
      <c r="Q754" s="94"/>
      <c r="R754" s="94"/>
      <c r="S754" s="94"/>
      <c r="T754" s="94"/>
      <c r="U754" s="94"/>
      <c r="V754" s="94"/>
      <c r="W754" s="94"/>
      <c r="X754" s="94"/>
      <c r="Y754" s="38"/>
    </row>
    <row r="755" spans="1:25" ht="15.75" customHeight="1">
      <c r="A755" s="94"/>
      <c r="B755" s="94"/>
      <c r="C755" s="94"/>
      <c r="D755" s="94"/>
      <c r="E755" s="179"/>
      <c r="F755" s="94"/>
      <c r="G755" s="94"/>
      <c r="H755" s="94"/>
      <c r="I755" s="94"/>
      <c r="J755" s="94"/>
      <c r="K755" s="94"/>
      <c r="L755" s="94"/>
      <c r="M755" s="94"/>
      <c r="N755" s="94"/>
      <c r="O755" s="94"/>
      <c r="P755" s="94"/>
      <c r="Q755" s="94"/>
      <c r="R755" s="94"/>
      <c r="S755" s="94"/>
      <c r="T755" s="94"/>
      <c r="U755" s="94"/>
      <c r="V755" s="94"/>
      <c r="W755" s="94"/>
      <c r="X755" s="94"/>
      <c r="Y755" s="38"/>
    </row>
    <row r="756" spans="1:25" ht="15.75" customHeight="1">
      <c r="A756" s="94"/>
      <c r="B756" s="94"/>
      <c r="C756" s="94"/>
      <c r="D756" s="94"/>
      <c r="E756" s="179"/>
      <c r="F756" s="94"/>
      <c r="G756" s="94"/>
      <c r="H756" s="94"/>
      <c r="I756" s="94"/>
      <c r="J756" s="94"/>
      <c r="K756" s="94"/>
      <c r="L756" s="94"/>
      <c r="M756" s="94"/>
      <c r="N756" s="94"/>
      <c r="O756" s="94"/>
      <c r="P756" s="94"/>
      <c r="Q756" s="94"/>
      <c r="R756" s="94"/>
      <c r="S756" s="94"/>
      <c r="T756" s="94"/>
      <c r="U756" s="94"/>
      <c r="V756" s="94"/>
      <c r="W756" s="94"/>
      <c r="X756" s="94"/>
      <c r="Y756" s="38"/>
    </row>
    <row r="757" spans="1:25" ht="15.75" customHeight="1">
      <c r="A757" s="94"/>
      <c r="B757" s="94"/>
      <c r="C757" s="94"/>
      <c r="D757" s="94"/>
      <c r="E757" s="179"/>
      <c r="F757" s="94"/>
      <c r="G757" s="94"/>
      <c r="H757" s="94"/>
      <c r="I757" s="94"/>
      <c r="J757" s="94"/>
      <c r="K757" s="94"/>
      <c r="L757" s="94"/>
      <c r="M757" s="94"/>
      <c r="N757" s="94"/>
      <c r="O757" s="94"/>
      <c r="P757" s="94"/>
      <c r="Q757" s="94"/>
      <c r="R757" s="94"/>
      <c r="S757" s="94"/>
      <c r="T757" s="94"/>
      <c r="U757" s="94"/>
      <c r="V757" s="94"/>
      <c r="W757" s="94"/>
      <c r="X757" s="94"/>
      <c r="Y757" s="38"/>
    </row>
    <row r="758" spans="1:25" ht="15.75" customHeight="1">
      <c r="A758" s="94"/>
      <c r="B758" s="94"/>
      <c r="C758" s="94"/>
      <c r="D758" s="94"/>
      <c r="E758" s="179"/>
      <c r="F758" s="94"/>
      <c r="G758" s="94"/>
      <c r="H758" s="94"/>
      <c r="I758" s="94"/>
      <c r="J758" s="94"/>
      <c r="K758" s="94"/>
      <c r="L758" s="94"/>
      <c r="M758" s="94"/>
      <c r="N758" s="94"/>
      <c r="O758" s="94"/>
      <c r="P758" s="94"/>
      <c r="Q758" s="94"/>
      <c r="R758" s="94"/>
      <c r="S758" s="94"/>
      <c r="T758" s="94"/>
      <c r="U758" s="94"/>
      <c r="V758" s="94"/>
      <c r="W758" s="94"/>
      <c r="X758" s="94"/>
      <c r="Y758" s="38"/>
    </row>
    <row r="759" spans="1:25" ht="15.75" customHeight="1">
      <c r="A759" s="94"/>
      <c r="B759" s="94"/>
      <c r="C759" s="94"/>
      <c r="D759" s="94"/>
      <c r="E759" s="179"/>
      <c r="F759" s="94"/>
      <c r="G759" s="94"/>
      <c r="H759" s="94"/>
      <c r="I759" s="94"/>
      <c r="J759" s="94"/>
      <c r="K759" s="94"/>
      <c r="L759" s="94"/>
      <c r="M759" s="94"/>
      <c r="N759" s="94"/>
      <c r="O759" s="94"/>
      <c r="P759" s="94"/>
      <c r="Q759" s="94"/>
      <c r="R759" s="94"/>
      <c r="S759" s="94"/>
      <c r="T759" s="94"/>
      <c r="U759" s="94"/>
      <c r="V759" s="94"/>
      <c r="W759" s="94"/>
      <c r="X759" s="94"/>
      <c r="Y759" s="38"/>
    </row>
    <row r="760" spans="1:25" ht="15.75" customHeight="1">
      <c r="A760" s="94"/>
      <c r="B760" s="94"/>
      <c r="C760" s="94"/>
      <c r="D760" s="94"/>
      <c r="E760" s="179"/>
      <c r="F760" s="94"/>
      <c r="G760" s="94"/>
      <c r="H760" s="94"/>
      <c r="I760" s="94"/>
      <c r="J760" s="94"/>
      <c r="K760" s="94"/>
      <c r="L760" s="94"/>
      <c r="M760" s="94"/>
      <c r="N760" s="94"/>
      <c r="O760" s="94"/>
      <c r="P760" s="94"/>
      <c r="Q760" s="94"/>
      <c r="R760" s="94"/>
      <c r="S760" s="94"/>
      <c r="T760" s="94"/>
      <c r="U760" s="94"/>
      <c r="V760" s="94"/>
      <c r="W760" s="94"/>
      <c r="X760" s="94"/>
      <c r="Y760" s="38"/>
    </row>
    <row r="761" spans="1:25" ht="15.75" customHeight="1">
      <c r="A761" s="94"/>
      <c r="B761" s="94"/>
      <c r="C761" s="94"/>
      <c r="D761" s="94"/>
      <c r="E761" s="179"/>
      <c r="F761" s="94"/>
      <c r="G761" s="94"/>
      <c r="H761" s="94"/>
      <c r="I761" s="94"/>
      <c r="J761" s="94"/>
      <c r="K761" s="94"/>
      <c r="L761" s="94"/>
      <c r="M761" s="94"/>
      <c r="N761" s="94"/>
      <c r="O761" s="94"/>
      <c r="P761" s="94"/>
      <c r="Q761" s="94"/>
      <c r="R761" s="94"/>
      <c r="S761" s="94"/>
      <c r="T761" s="94"/>
      <c r="U761" s="94"/>
      <c r="V761" s="94"/>
      <c r="W761" s="94"/>
      <c r="X761" s="94"/>
      <c r="Y761" s="38"/>
    </row>
    <row r="762" spans="1:25" ht="15.75" customHeight="1">
      <c r="A762" s="94"/>
      <c r="B762" s="94"/>
      <c r="C762" s="94"/>
      <c r="D762" s="94"/>
      <c r="E762" s="179"/>
      <c r="F762" s="94"/>
      <c r="G762" s="94"/>
      <c r="H762" s="94"/>
      <c r="I762" s="94"/>
      <c r="J762" s="94"/>
      <c r="K762" s="94"/>
      <c r="L762" s="94"/>
      <c r="M762" s="94"/>
      <c r="N762" s="94"/>
      <c r="O762" s="94"/>
      <c r="P762" s="94"/>
      <c r="Q762" s="94"/>
      <c r="R762" s="94"/>
      <c r="S762" s="94"/>
      <c r="T762" s="94"/>
      <c r="U762" s="94"/>
      <c r="V762" s="94"/>
      <c r="W762" s="94"/>
      <c r="X762" s="94"/>
      <c r="Y762" s="38"/>
    </row>
    <row r="763" spans="1:25" ht="15.75" customHeight="1">
      <c r="A763" s="94"/>
      <c r="B763" s="94"/>
      <c r="C763" s="94"/>
      <c r="D763" s="94"/>
      <c r="E763" s="179"/>
      <c r="F763" s="94"/>
      <c r="G763" s="94"/>
      <c r="H763" s="94"/>
      <c r="I763" s="94"/>
      <c r="J763" s="94"/>
      <c r="K763" s="94"/>
      <c r="L763" s="94"/>
      <c r="M763" s="94"/>
      <c r="N763" s="94"/>
      <c r="O763" s="94"/>
      <c r="P763" s="94"/>
      <c r="Q763" s="94"/>
      <c r="R763" s="94"/>
      <c r="S763" s="94"/>
      <c r="T763" s="94"/>
      <c r="U763" s="94"/>
      <c r="V763" s="94"/>
      <c r="W763" s="94"/>
      <c r="X763" s="94"/>
      <c r="Y763" s="38"/>
    </row>
    <row r="764" spans="1:25" ht="15.75" customHeight="1">
      <c r="A764" s="94"/>
      <c r="B764" s="94"/>
      <c r="C764" s="94"/>
      <c r="D764" s="94"/>
      <c r="E764" s="179"/>
      <c r="F764" s="94"/>
      <c r="G764" s="94"/>
      <c r="H764" s="94"/>
      <c r="I764" s="94"/>
      <c r="J764" s="94"/>
      <c r="K764" s="94"/>
      <c r="L764" s="94"/>
      <c r="M764" s="94"/>
      <c r="N764" s="94"/>
      <c r="O764" s="94"/>
      <c r="P764" s="94"/>
      <c r="Q764" s="94"/>
      <c r="R764" s="94"/>
      <c r="S764" s="94"/>
      <c r="T764" s="94"/>
      <c r="U764" s="94"/>
      <c r="V764" s="94"/>
      <c r="W764" s="94"/>
      <c r="X764" s="94"/>
      <c r="Y764" s="38"/>
    </row>
    <row r="765" spans="1:25" ht="15.75" customHeight="1">
      <c r="A765" s="94"/>
      <c r="B765" s="94"/>
      <c r="C765" s="94"/>
      <c r="D765" s="94"/>
      <c r="E765" s="179"/>
      <c r="F765" s="94"/>
      <c r="G765" s="94"/>
      <c r="H765" s="94"/>
      <c r="I765" s="94"/>
      <c r="J765" s="94"/>
      <c r="K765" s="94"/>
      <c r="L765" s="94"/>
      <c r="M765" s="94"/>
      <c r="N765" s="94"/>
      <c r="O765" s="94"/>
      <c r="P765" s="94"/>
      <c r="Q765" s="94"/>
      <c r="R765" s="94"/>
      <c r="S765" s="94"/>
      <c r="T765" s="94"/>
      <c r="U765" s="94"/>
      <c r="V765" s="94"/>
      <c r="W765" s="94"/>
      <c r="X765" s="94"/>
      <c r="Y765" s="38"/>
    </row>
    <row r="766" spans="1:25" ht="15.75" customHeight="1">
      <c r="A766" s="94"/>
      <c r="B766" s="94"/>
      <c r="C766" s="94"/>
      <c r="D766" s="94"/>
      <c r="E766" s="179"/>
      <c r="F766" s="94"/>
      <c r="G766" s="94"/>
      <c r="H766" s="94"/>
      <c r="I766" s="94"/>
      <c r="J766" s="94"/>
      <c r="K766" s="94"/>
      <c r="L766" s="94"/>
      <c r="M766" s="94"/>
      <c r="N766" s="94"/>
      <c r="O766" s="94"/>
      <c r="P766" s="94"/>
      <c r="Q766" s="94"/>
      <c r="R766" s="94"/>
      <c r="S766" s="94"/>
      <c r="T766" s="94"/>
      <c r="U766" s="94"/>
      <c r="V766" s="94"/>
      <c r="W766" s="94"/>
      <c r="X766" s="94"/>
      <c r="Y766" s="38"/>
    </row>
    <row r="767" spans="1:25" ht="15.75" customHeight="1">
      <c r="A767" s="94"/>
      <c r="B767" s="94"/>
      <c r="C767" s="94"/>
      <c r="D767" s="94"/>
      <c r="E767" s="179"/>
      <c r="F767" s="94"/>
      <c r="G767" s="94"/>
      <c r="H767" s="94"/>
      <c r="I767" s="94"/>
      <c r="J767" s="94"/>
      <c r="K767" s="94"/>
      <c r="L767" s="94"/>
      <c r="M767" s="94"/>
      <c r="N767" s="94"/>
      <c r="O767" s="94"/>
      <c r="P767" s="94"/>
      <c r="Q767" s="94"/>
      <c r="R767" s="94"/>
      <c r="S767" s="94"/>
      <c r="T767" s="94"/>
      <c r="U767" s="94"/>
      <c r="V767" s="94"/>
      <c r="W767" s="94"/>
      <c r="X767" s="94"/>
      <c r="Y767" s="38"/>
    </row>
    <row r="768" spans="1:25" ht="15.75" customHeight="1">
      <c r="A768" s="94"/>
      <c r="B768" s="94"/>
      <c r="C768" s="94"/>
      <c r="D768" s="94"/>
      <c r="E768" s="179"/>
      <c r="F768" s="94"/>
      <c r="G768" s="94"/>
      <c r="H768" s="94"/>
      <c r="I768" s="94"/>
      <c r="J768" s="94"/>
      <c r="K768" s="94"/>
      <c r="L768" s="94"/>
      <c r="M768" s="94"/>
      <c r="N768" s="94"/>
      <c r="O768" s="94"/>
      <c r="P768" s="94"/>
      <c r="Q768" s="94"/>
      <c r="R768" s="94"/>
      <c r="S768" s="94"/>
      <c r="T768" s="94"/>
      <c r="U768" s="94"/>
      <c r="V768" s="94"/>
      <c r="W768" s="94"/>
      <c r="X768" s="94"/>
      <c r="Y768" s="38"/>
    </row>
    <row r="769" spans="1:25" ht="15.75" customHeight="1">
      <c r="A769" s="94"/>
      <c r="B769" s="94"/>
      <c r="C769" s="94"/>
      <c r="D769" s="94"/>
      <c r="E769" s="179"/>
      <c r="F769" s="94"/>
      <c r="G769" s="94"/>
      <c r="H769" s="94"/>
      <c r="I769" s="94"/>
      <c r="J769" s="94"/>
      <c r="K769" s="94"/>
      <c r="L769" s="94"/>
      <c r="M769" s="94"/>
      <c r="N769" s="94"/>
      <c r="O769" s="94"/>
      <c r="P769" s="94"/>
      <c r="Q769" s="94"/>
      <c r="R769" s="94"/>
      <c r="S769" s="94"/>
      <c r="T769" s="94"/>
      <c r="U769" s="94"/>
      <c r="V769" s="94"/>
      <c r="W769" s="94"/>
      <c r="X769" s="94"/>
      <c r="Y769" s="38"/>
    </row>
    <row r="770" spans="1:25" ht="15.75" customHeight="1">
      <c r="A770" s="94"/>
      <c r="B770" s="94"/>
      <c r="C770" s="94"/>
      <c r="D770" s="94"/>
      <c r="E770" s="179"/>
      <c r="F770" s="94"/>
      <c r="G770" s="94"/>
      <c r="H770" s="94"/>
      <c r="I770" s="94"/>
      <c r="J770" s="94"/>
      <c r="K770" s="94"/>
      <c r="L770" s="94"/>
      <c r="M770" s="94"/>
      <c r="N770" s="94"/>
      <c r="O770" s="94"/>
      <c r="P770" s="94"/>
      <c r="Q770" s="94"/>
      <c r="R770" s="94"/>
      <c r="S770" s="94"/>
      <c r="T770" s="94"/>
      <c r="U770" s="94"/>
      <c r="V770" s="94"/>
      <c r="W770" s="94"/>
      <c r="X770" s="94"/>
      <c r="Y770" s="38"/>
    </row>
    <row r="771" spans="1:25" ht="15.75" customHeight="1">
      <c r="A771" s="94"/>
      <c r="B771" s="94"/>
      <c r="C771" s="94"/>
      <c r="D771" s="94"/>
      <c r="E771" s="179"/>
      <c r="F771" s="94"/>
      <c r="G771" s="94"/>
      <c r="H771" s="94"/>
      <c r="I771" s="94"/>
      <c r="J771" s="94"/>
      <c r="K771" s="94"/>
      <c r="L771" s="94"/>
      <c r="M771" s="94"/>
      <c r="N771" s="94"/>
      <c r="O771" s="94"/>
      <c r="P771" s="94"/>
      <c r="Q771" s="94"/>
      <c r="R771" s="94"/>
      <c r="S771" s="94"/>
      <c r="T771" s="94"/>
      <c r="U771" s="94"/>
      <c r="V771" s="94"/>
      <c r="W771" s="94"/>
      <c r="X771" s="94"/>
      <c r="Y771" s="38"/>
    </row>
    <row r="772" spans="1:25" ht="15.75" customHeight="1">
      <c r="A772" s="94"/>
      <c r="B772" s="94"/>
      <c r="C772" s="94"/>
      <c r="D772" s="94"/>
      <c r="E772" s="179"/>
      <c r="F772" s="94"/>
      <c r="G772" s="94"/>
      <c r="H772" s="94"/>
      <c r="I772" s="94"/>
      <c r="J772" s="94"/>
      <c r="K772" s="94"/>
      <c r="L772" s="94"/>
      <c r="M772" s="94"/>
      <c r="N772" s="94"/>
      <c r="O772" s="94"/>
      <c r="P772" s="94"/>
      <c r="Q772" s="94"/>
      <c r="R772" s="94"/>
      <c r="S772" s="94"/>
      <c r="T772" s="94"/>
      <c r="U772" s="94"/>
      <c r="V772" s="94"/>
      <c r="W772" s="94"/>
      <c r="X772" s="94"/>
      <c r="Y772" s="38"/>
    </row>
    <row r="773" spans="1:25" ht="15.75" customHeight="1">
      <c r="A773" s="94"/>
      <c r="B773" s="94"/>
      <c r="C773" s="94"/>
      <c r="D773" s="94"/>
      <c r="E773" s="179"/>
      <c r="F773" s="94"/>
      <c r="G773" s="94"/>
      <c r="H773" s="94"/>
      <c r="I773" s="94"/>
      <c r="J773" s="94"/>
      <c r="K773" s="94"/>
      <c r="L773" s="94"/>
      <c r="M773" s="94"/>
      <c r="N773" s="94"/>
      <c r="O773" s="94"/>
      <c r="P773" s="94"/>
      <c r="Q773" s="94"/>
      <c r="R773" s="94"/>
      <c r="S773" s="94"/>
      <c r="T773" s="94"/>
      <c r="U773" s="94"/>
      <c r="V773" s="94"/>
      <c r="W773" s="94"/>
      <c r="X773" s="94"/>
      <c r="Y773" s="38"/>
    </row>
    <row r="774" spans="1:25" ht="15.75" customHeight="1">
      <c r="A774" s="94"/>
      <c r="B774" s="94"/>
      <c r="C774" s="94"/>
      <c r="D774" s="94"/>
      <c r="E774" s="179"/>
      <c r="F774" s="94"/>
      <c r="G774" s="94"/>
      <c r="H774" s="94"/>
      <c r="I774" s="94"/>
      <c r="J774" s="94"/>
      <c r="K774" s="94"/>
      <c r="L774" s="94"/>
      <c r="M774" s="94"/>
      <c r="N774" s="94"/>
      <c r="O774" s="94"/>
      <c r="P774" s="94"/>
      <c r="Q774" s="94"/>
      <c r="R774" s="94"/>
      <c r="S774" s="94"/>
      <c r="T774" s="94"/>
      <c r="U774" s="94"/>
      <c r="V774" s="94"/>
      <c r="W774" s="94"/>
      <c r="X774" s="94"/>
      <c r="Y774" s="38"/>
    </row>
    <row r="775" spans="1:25" ht="15.75" customHeight="1">
      <c r="A775" s="94"/>
      <c r="B775" s="94"/>
      <c r="C775" s="94"/>
      <c r="D775" s="94"/>
      <c r="E775" s="179"/>
      <c r="F775" s="94"/>
      <c r="G775" s="94"/>
      <c r="H775" s="94"/>
      <c r="I775" s="94"/>
      <c r="J775" s="94"/>
      <c r="K775" s="94"/>
      <c r="L775" s="94"/>
      <c r="M775" s="94"/>
      <c r="N775" s="94"/>
      <c r="O775" s="94"/>
      <c r="P775" s="94"/>
      <c r="Q775" s="94"/>
      <c r="R775" s="94"/>
      <c r="S775" s="94"/>
      <c r="T775" s="94"/>
      <c r="U775" s="94"/>
      <c r="V775" s="94"/>
      <c r="W775" s="94"/>
      <c r="X775" s="94"/>
      <c r="Y775" s="38"/>
    </row>
    <row r="776" spans="1:25" ht="15.75" customHeight="1">
      <c r="A776" s="94"/>
      <c r="B776" s="94"/>
      <c r="C776" s="94"/>
      <c r="D776" s="94"/>
      <c r="E776" s="179"/>
      <c r="F776" s="94"/>
      <c r="G776" s="94"/>
      <c r="H776" s="94"/>
      <c r="I776" s="94"/>
      <c r="J776" s="94"/>
      <c r="K776" s="94"/>
      <c r="L776" s="94"/>
      <c r="M776" s="94"/>
      <c r="N776" s="94"/>
      <c r="O776" s="94"/>
      <c r="P776" s="94"/>
      <c r="Q776" s="94"/>
      <c r="R776" s="94"/>
      <c r="S776" s="94"/>
      <c r="T776" s="94"/>
      <c r="U776" s="94"/>
      <c r="V776" s="94"/>
      <c r="W776" s="94"/>
      <c r="X776" s="94"/>
      <c r="Y776" s="38"/>
    </row>
    <row r="777" spans="1:25" ht="15.75" customHeight="1">
      <c r="A777" s="94"/>
      <c r="B777" s="94"/>
      <c r="C777" s="94"/>
      <c r="D777" s="94"/>
      <c r="E777" s="179"/>
      <c r="F777" s="94"/>
      <c r="G777" s="94"/>
      <c r="H777" s="94"/>
      <c r="I777" s="94"/>
      <c r="J777" s="94"/>
      <c r="K777" s="94"/>
      <c r="L777" s="94"/>
      <c r="M777" s="94"/>
      <c r="N777" s="94"/>
      <c r="O777" s="94"/>
      <c r="P777" s="94"/>
      <c r="Q777" s="94"/>
      <c r="R777" s="94"/>
      <c r="S777" s="94"/>
      <c r="T777" s="94"/>
      <c r="U777" s="94"/>
      <c r="V777" s="94"/>
      <c r="W777" s="94"/>
      <c r="X777" s="94"/>
      <c r="Y777" s="38"/>
    </row>
    <row r="778" spans="1:25" ht="15.75" customHeight="1">
      <c r="A778" s="94"/>
      <c r="B778" s="94"/>
      <c r="C778" s="94"/>
      <c r="D778" s="94"/>
      <c r="E778" s="179"/>
      <c r="F778" s="94"/>
      <c r="G778" s="94"/>
      <c r="H778" s="94"/>
      <c r="I778" s="94"/>
      <c r="J778" s="94"/>
      <c r="K778" s="94"/>
      <c r="L778" s="94"/>
      <c r="M778" s="94"/>
      <c r="N778" s="94"/>
      <c r="O778" s="94"/>
      <c r="P778" s="94"/>
      <c r="Q778" s="94"/>
      <c r="R778" s="94"/>
      <c r="S778" s="94"/>
      <c r="T778" s="94"/>
      <c r="U778" s="94"/>
      <c r="V778" s="94"/>
      <c r="W778" s="94"/>
      <c r="X778" s="94"/>
      <c r="Y778" s="38"/>
    </row>
    <row r="779" spans="1:25" ht="15.75" customHeight="1">
      <c r="A779" s="94"/>
      <c r="B779" s="94"/>
      <c r="C779" s="94"/>
      <c r="D779" s="94"/>
      <c r="E779" s="179"/>
      <c r="F779" s="94"/>
      <c r="G779" s="94"/>
      <c r="H779" s="94"/>
      <c r="I779" s="94"/>
      <c r="J779" s="94"/>
      <c r="K779" s="94"/>
      <c r="L779" s="94"/>
      <c r="M779" s="94"/>
      <c r="N779" s="94"/>
      <c r="O779" s="94"/>
      <c r="P779" s="94"/>
      <c r="Q779" s="94"/>
      <c r="R779" s="94"/>
      <c r="S779" s="94"/>
      <c r="T779" s="94"/>
      <c r="U779" s="94"/>
      <c r="V779" s="94"/>
      <c r="W779" s="94"/>
      <c r="X779" s="94"/>
      <c r="Y779" s="38"/>
    </row>
    <row r="780" spans="1:25" ht="15.75" customHeight="1">
      <c r="A780" s="94"/>
      <c r="B780" s="94"/>
      <c r="C780" s="94"/>
      <c r="D780" s="94"/>
      <c r="E780" s="179"/>
      <c r="F780" s="94"/>
      <c r="G780" s="94"/>
      <c r="H780" s="94"/>
      <c r="I780" s="94"/>
      <c r="J780" s="94"/>
      <c r="K780" s="94"/>
      <c r="L780" s="94"/>
      <c r="M780" s="94"/>
      <c r="N780" s="94"/>
      <c r="O780" s="94"/>
      <c r="P780" s="94"/>
      <c r="Q780" s="94"/>
      <c r="R780" s="94"/>
      <c r="S780" s="94"/>
      <c r="T780" s="94"/>
      <c r="U780" s="94"/>
      <c r="V780" s="94"/>
      <c r="W780" s="94"/>
      <c r="X780" s="94"/>
      <c r="Y780" s="38"/>
    </row>
    <row r="781" spans="1:25" ht="15.75" customHeight="1">
      <c r="A781" s="94"/>
      <c r="B781" s="94"/>
      <c r="C781" s="94"/>
      <c r="D781" s="94"/>
      <c r="E781" s="179"/>
      <c r="F781" s="94"/>
      <c r="G781" s="94"/>
      <c r="H781" s="94"/>
      <c r="I781" s="94"/>
      <c r="J781" s="94"/>
      <c r="K781" s="94"/>
      <c r="L781" s="94"/>
      <c r="M781" s="94"/>
      <c r="N781" s="94"/>
      <c r="O781" s="94"/>
      <c r="P781" s="94"/>
      <c r="Q781" s="94"/>
      <c r="R781" s="94"/>
      <c r="S781" s="94"/>
      <c r="T781" s="94"/>
      <c r="U781" s="94"/>
      <c r="V781" s="94"/>
      <c r="W781" s="94"/>
      <c r="X781" s="94"/>
      <c r="Y781" s="38"/>
    </row>
    <row r="782" spans="1:25" ht="15.75" customHeight="1">
      <c r="A782" s="94"/>
      <c r="B782" s="94"/>
      <c r="C782" s="94"/>
      <c r="D782" s="94"/>
      <c r="E782" s="179"/>
      <c r="F782" s="94"/>
      <c r="G782" s="94"/>
      <c r="H782" s="94"/>
      <c r="I782" s="94"/>
      <c r="J782" s="94"/>
      <c r="K782" s="94"/>
      <c r="L782" s="94"/>
      <c r="M782" s="94"/>
      <c r="N782" s="94"/>
      <c r="O782" s="94"/>
      <c r="P782" s="94"/>
      <c r="Q782" s="94"/>
      <c r="R782" s="94"/>
      <c r="S782" s="94"/>
      <c r="T782" s="94"/>
      <c r="U782" s="94"/>
      <c r="V782" s="94"/>
      <c r="W782" s="94"/>
      <c r="X782" s="94"/>
      <c r="Y782" s="38"/>
    </row>
    <row r="783" spans="1:25" ht="15.75" customHeight="1">
      <c r="A783" s="94"/>
      <c r="B783" s="94"/>
      <c r="C783" s="94"/>
      <c r="D783" s="94"/>
      <c r="E783" s="179"/>
      <c r="F783" s="94"/>
      <c r="G783" s="94"/>
      <c r="H783" s="94"/>
      <c r="I783" s="94"/>
      <c r="J783" s="94"/>
      <c r="K783" s="94"/>
      <c r="L783" s="94"/>
      <c r="M783" s="94"/>
      <c r="N783" s="94"/>
      <c r="O783" s="94"/>
      <c r="P783" s="94"/>
      <c r="Q783" s="94"/>
      <c r="R783" s="94"/>
      <c r="S783" s="94"/>
      <c r="T783" s="94"/>
      <c r="U783" s="94"/>
      <c r="V783" s="94"/>
      <c r="W783" s="94"/>
      <c r="X783" s="94"/>
      <c r="Y783" s="38"/>
    </row>
    <row r="784" spans="1:25" ht="15.75" customHeight="1">
      <c r="A784" s="94"/>
      <c r="B784" s="94"/>
      <c r="C784" s="94"/>
      <c r="D784" s="94"/>
      <c r="E784" s="179"/>
      <c r="F784" s="94"/>
      <c r="G784" s="94"/>
      <c r="H784" s="94"/>
      <c r="I784" s="94"/>
      <c r="J784" s="94"/>
      <c r="K784" s="94"/>
      <c r="L784" s="94"/>
      <c r="M784" s="94"/>
      <c r="N784" s="94"/>
      <c r="O784" s="94"/>
      <c r="P784" s="94"/>
      <c r="Q784" s="94"/>
      <c r="R784" s="94"/>
      <c r="S784" s="94"/>
      <c r="T784" s="94"/>
      <c r="U784" s="94"/>
      <c r="V784" s="94"/>
      <c r="W784" s="94"/>
      <c r="X784" s="94"/>
      <c r="Y784" s="38"/>
    </row>
    <row r="785" spans="1:25" ht="15.75" customHeight="1">
      <c r="A785" s="94"/>
      <c r="B785" s="94"/>
      <c r="C785" s="94"/>
      <c r="D785" s="94"/>
      <c r="E785" s="179"/>
      <c r="F785" s="94"/>
      <c r="G785" s="94"/>
      <c r="H785" s="94"/>
      <c r="I785" s="94"/>
      <c r="J785" s="94"/>
      <c r="K785" s="94"/>
      <c r="L785" s="94"/>
      <c r="M785" s="94"/>
      <c r="N785" s="94"/>
      <c r="O785" s="94"/>
      <c r="P785" s="94"/>
      <c r="Q785" s="94"/>
      <c r="R785" s="94"/>
      <c r="S785" s="94"/>
      <c r="T785" s="94"/>
      <c r="U785" s="94"/>
      <c r="V785" s="94"/>
      <c r="W785" s="94"/>
      <c r="X785" s="94"/>
      <c r="Y785" s="38"/>
    </row>
    <row r="786" spans="1:25" ht="15.75" customHeight="1">
      <c r="A786" s="94"/>
      <c r="B786" s="94"/>
      <c r="C786" s="94"/>
      <c r="D786" s="94"/>
      <c r="E786" s="179"/>
      <c r="F786" s="94"/>
      <c r="G786" s="94"/>
      <c r="H786" s="94"/>
      <c r="I786" s="94"/>
      <c r="J786" s="94"/>
      <c r="K786" s="94"/>
      <c r="L786" s="94"/>
      <c r="M786" s="94"/>
      <c r="N786" s="94"/>
      <c r="O786" s="94"/>
      <c r="P786" s="94"/>
      <c r="Q786" s="94"/>
      <c r="R786" s="94"/>
      <c r="S786" s="94"/>
      <c r="T786" s="94"/>
      <c r="U786" s="94"/>
      <c r="V786" s="94"/>
      <c r="W786" s="94"/>
      <c r="X786" s="94"/>
      <c r="Y786" s="38"/>
    </row>
    <row r="787" spans="1:25" ht="15.75" customHeight="1">
      <c r="A787" s="94"/>
      <c r="B787" s="94"/>
      <c r="C787" s="94"/>
      <c r="D787" s="94"/>
      <c r="E787" s="179"/>
      <c r="F787" s="94"/>
      <c r="G787" s="94"/>
      <c r="H787" s="94"/>
      <c r="I787" s="94"/>
      <c r="J787" s="94"/>
      <c r="K787" s="94"/>
      <c r="L787" s="94"/>
      <c r="M787" s="94"/>
      <c r="N787" s="94"/>
      <c r="O787" s="94"/>
      <c r="P787" s="94"/>
      <c r="Q787" s="94"/>
      <c r="R787" s="94"/>
      <c r="S787" s="94"/>
      <c r="T787" s="94"/>
      <c r="U787" s="94"/>
      <c r="V787" s="94"/>
      <c r="W787" s="94"/>
      <c r="X787" s="94"/>
      <c r="Y787" s="38"/>
    </row>
    <row r="788" spans="1:25" ht="15.75" customHeight="1">
      <c r="A788" s="94"/>
      <c r="B788" s="94"/>
      <c r="C788" s="94"/>
      <c r="D788" s="94"/>
      <c r="E788" s="179"/>
      <c r="F788" s="94"/>
      <c r="G788" s="94"/>
      <c r="H788" s="94"/>
      <c r="I788" s="94"/>
      <c r="J788" s="94"/>
      <c r="K788" s="94"/>
      <c r="L788" s="94"/>
      <c r="M788" s="94"/>
      <c r="N788" s="94"/>
      <c r="O788" s="94"/>
      <c r="P788" s="94"/>
      <c r="Q788" s="94"/>
      <c r="R788" s="94"/>
      <c r="S788" s="94"/>
      <c r="T788" s="94"/>
      <c r="U788" s="94"/>
      <c r="V788" s="94"/>
      <c r="W788" s="94"/>
      <c r="X788" s="94"/>
      <c r="Y788" s="38"/>
    </row>
    <row r="789" spans="1:25" ht="15.75" customHeight="1">
      <c r="A789" s="94"/>
      <c r="B789" s="94"/>
      <c r="C789" s="94"/>
      <c r="D789" s="94"/>
      <c r="E789" s="179"/>
      <c r="F789" s="94"/>
      <c r="G789" s="94"/>
      <c r="H789" s="94"/>
      <c r="I789" s="94"/>
      <c r="J789" s="94"/>
      <c r="K789" s="94"/>
      <c r="L789" s="94"/>
      <c r="M789" s="94"/>
      <c r="N789" s="94"/>
      <c r="O789" s="94"/>
      <c r="P789" s="94"/>
      <c r="Q789" s="94"/>
      <c r="R789" s="94"/>
      <c r="S789" s="94"/>
      <c r="T789" s="94"/>
      <c r="U789" s="94"/>
      <c r="V789" s="94"/>
      <c r="W789" s="94"/>
      <c r="X789" s="94"/>
      <c r="Y789" s="38"/>
    </row>
    <row r="790" spans="1:25" ht="15.75" customHeight="1">
      <c r="A790" s="94"/>
      <c r="B790" s="94"/>
      <c r="C790" s="94"/>
      <c r="D790" s="94"/>
      <c r="E790" s="179"/>
      <c r="F790" s="94"/>
      <c r="G790" s="94"/>
      <c r="H790" s="94"/>
      <c r="I790" s="94"/>
      <c r="J790" s="94"/>
      <c r="K790" s="94"/>
      <c r="L790" s="94"/>
      <c r="M790" s="94"/>
      <c r="N790" s="94"/>
      <c r="O790" s="94"/>
      <c r="P790" s="94"/>
      <c r="Q790" s="94"/>
      <c r="R790" s="94"/>
      <c r="S790" s="94"/>
      <c r="T790" s="94"/>
      <c r="U790" s="94"/>
      <c r="V790" s="94"/>
      <c r="W790" s="94"/>
      <c r="X790" s="94"/>
      <c r="Y790" s="38"/>
    </row>
    <row r="791" spans="1:25" ht="15.75" customHeight="1">
      <c r="A791" s="94"/>
      <c r="B791" s="94"/>
      <c r="C791" s="94"/>
      <c r="D791" s="94"/>
      <c r="E791" s="179"/>
      <c r="F791" s="94"/>
      <c r="G791" s="94"/>
      <c r="H791" s="94"/>
      <c r="I791" s="94"/>
      <c r="J791" s="94"/>
      <c r="K791" s="94"/>
      <c r="L791" s="94"/>
      <c r="M791" s="94"/>
      <c r="N791" s="94"/>
      <c r="O791" s="94"/>
      <c r="P791" s="94"/>
      <c r="Q791" s="94"/>
      <c r="R791" s="94"/>
      <c r="S791" s="94"/>
      <c r="T791" s="94"/>
      <c r="U791" s="94"/>
      <c r="V791" s="94"/>
      <c r="W791" s="94"/>
      <c r="X791" s="94"/>
      <c r="Y791" s="38"/>
    </row>
    <row r="792" spans="1:25" ht="15.75" customHeight="1">
      <c r="A792" s="94"/>
      <c r="B792" s="94"/>
      <c r="C792" s="94"/>
      <c r="D792" s="94"/>
      <c r="E792" s="179"/>
      <c r="F792" s="94"/>
      <c r="G792" s="94"/>
      <c r="H792" s="94"/>
      <c r="I792" s="94"/>
      <c r="J792" s="94"/>
      <c r="K792" s="94"/>
      <c r="L792" s="94"/>
      <c r="M792" s="94"/>
      <c r="N792" s="94"/>
      <c r="O792" s="94"/>
      <c r="P792" s="94"/>
      <c r="Q792" s="94"/>
      <c r="R792" s="94"/>
      <c r="S792" s="94"/>
      <c r="T792" s="94"/>
      <c r="U792" s="94"/>
      <c r="V792" s="94"/>
      <c r="W792" s="94"/>
      <c r="X792" s="94"/>
      <c r="Y792" s="38"/>
    </row>
    <row r="793" spans="1:25" ht="15.75" customHeight="1">
      <c r="A793" s="94"/>
      <c r="B793" s="94"/>
      <c r="C793" s="94"/>
      <c r="D793" s="94"/>
      <c r="E793" s="179"/>
      <c r="F793" s="94"/>
      <c r="G793" s="94"/>
      <c r="H793" s="94"/>
      <c r="I793" s="94"/>
      <c r="J793" s="94"/>
      <c r="K793" s="94"/>
      <c r="L793" s="94"/>
      <c r="M793" s="94"/>
      <c r="N793" s="94"/>
      <c r="O793" s="94"/>
      <c r="P793" s="94"/>
      <c r="Q793" s="94"/>
      <c r="R793" s="94"/>
      <c r="S793" s="94"/>
      <c r="T793" s="94"/>
      <c r="U793" s="94"/>
      <c r="V793" s="94"/>
      <c r="W793" s="94"/>
      <c r="X793" s="94"/>
      <c r="Y793" s="38"/>
    </row>
    <row r="794" spans="1:25" ht="15.75" customHeight="1">
      <c r="A794" s="94"/>
      <c r="B794" s="94"/>
      <c r="C794" s="94"/>
      <c r="D794" s="94"/>
      <c r="E794" s="179"/>
      <c r="F794" s="94"/>
      <c r="G794" s="94"/>
      <c r="H794" s="94"/>
      <c r="I794" s="94"/>
      <c r="J794" s="94"/>
      <c r="K794" s="94"/>
      <c r="L794" s="94"/>
      <c r="M794" s="94"/>
      <c r="N794" s="94"/>
      <c r="O794" s="94"/>
      <c r="P794" s="94"/>
      <c r="Q794" s="94"/>
      <c r="R794" s="94"/>
      <c r="S794" s="94"/>
      <c r="T794" s="94"/>
      <c r="U794" s="94"/>
      <c r="V794" s="94"/>
      <c r="W794" s="94"/>
      <c r="X794" s="94"/>
      <c r="Y794" s="38"/>
    </row>
    <row r="795" spans="1:25" ht="15.75" customHeight="1">
      <c r="A795" s="94"/>
      <c r="B795" s="94"/>
      <c r="C795" s="94"/>
      <c r="D795" s="94"/>
      <c r="E795" s="179"/>
      <c r="F795" s="94"/>
      <c r="G795" s="94"/>
      <c r="H795" s="94"/>
      <c r="I795" s="94"/>
      <c r="J795" s="94"/>
      <c r="K795" s="94"/>
      <c r="L795" s="94"/>
      <c r="M795" s="94"/>
      <c r="N795" s="94"/>
      <c r="O795" s="94"/>
      <c r="P795" s="94"/>
      <c r="Q795" s="94"/>
      <c r="R795" s="94"/>
      <c r="S795" s="94"/>
      <c r="T795" s="94"/>
      <c r="U795" s="94"/>
      <c r="V795" s="94"/>
      <c r="W795" s="94"/>
      <c r="X795" s="94"/>
      <c r="Y795" s="38"/>
    </row>
    <row r="796" spans="1:25" ht="15.75" customHeight="1">
      <c r="A796" s="94"/>
      <c r="B796" s="94"/>
      <c r="C796" s="94"/>
      <c r="D796" s="94"/>
      <c r="E796" s="179"/>
      <c r="F796" s="94"/>
      <c r="G796" s="94"/>
      <c r="H796" s="94"/>
      <c r="I796" s="94"/>
      <c r="J796" s="94"/>
      <c r="K796" s="94"/>
      <c r="L796" s="94"/>
      <c r="M796" s="94"/>
      <c r="N796" s="94"/>
      <c r="O796" s="94"/>
      <c r="P796" s="94"/>
      <c r="Q796" s="94"/>
      <c r="R796" s="94"/>
      <c r="S796" s="94"/>
      <c r="T796" s="94"/>
      <c r="U796" s="94"/>
      <c r="V796" s="94"/>
      <c r="W796" s="94"/>
      <c r="X796" s="94"/>
      <c r="Y796" s="38"/>
    </row>
    <row r="797" spans="1:25" ht="15.75" customHeight="1">
      <c r="A797" s="94"/>
      <c r="B797" s="94"/>
      <c r="C797" s="94"/>
      <c r="D797" s="94"/>
      <c r="E797" s="179"/>
      <c r="F797" s="94"/>
      <c r="G797" s="94"/>
      <c r="H797" s="94"/>
      <c r="I797" s="94"/>
      <c r="J797" s="94"/>
      <c r="K797" s="94"/>
      <c r="L797" s="94"/>
      <c r="M797" s="94"/>
      <c r="N797" s="94"/>
      <c r="O797" s="94"/>
      <c r="P797" s="94"/>
      <c r="Q797" s="94"/>
      <c r="R797" s="94"/>
      <c r="S797" s="94"/>
      <c r="T797" s="94"/>
      <c r="U797" s="94"/>
      <c r="V797" s="94"/>
      <c r="W797" s="94"/>
      <c r="X797" s="94"/>
      <c r="Y797" s="38"/>
    </row>
    <row r="798" spans="1:25" ht="15.75" customHeight="1">
      <c r="A798" s="94"/>
      <c r="B798" s="94"/>
      <c r="C798" s="94"/>
      <c r="D798" s="94"/>
      <c r="E798" s="179"/>
      <c r="F798" s="94"/>
      <c r="G798" s="94"/>
      <c r="H798" s="94"/>
      <c r="I798" s="94"/>
      <c r="J798" s="94"/>
      <c r="K798" s="94"/>
      <c r="L798" s="94"/>
      <c r="M798" s="94"/>
      <c r="N798" s="94"/>
      <c r="O798" s="94"/>
      <c r="P798" s="94"/>
      <c r="Q798" s="94"/>
      <c r="R798" s="94"/>
      <c r="S798" s="94"/>
      <c r="T798" s="94"/>
      <c r="U798" s="94"/>
      <c r="V798" s="94"/>
      <c r="W798" s="94"/>
      <c r="X798" s="94"/>
      <c r="Y798" s="38"/>
    </row>
    <row r="799" spans="1:25" ht="15.75" customHeight="1">
      <c r="A799" s="94"/>
      <c r="B799" s="94"/>
      <c r="C799" s="94"/>
      <c r="D799" s="94"/>
      <c r="E799" s="179"/>
      <c r="F799" s="94"/>
      <c r="G799" s="94"/>
      <c r="H799" s="94"/>
      <c r="I799" s="94"/>
      <c r="J799" s="94"/>
      <c r="K799" s="94"/>
      <c r="L799" s="94"/>
      <c r="M799" s="94"/>
      <c r="N799" s="94"/>
      <c r="O799" s="94"/>
      <c r="P799" s="94"/>
      <c r="Q799" s="94"/>
      <c r="R799" s="94"/>
      <c r="S799" s="94"/>
      <c r="T799" s="94"/>
      <c r="U799" s="94"/>
      <c r="V799" s="94"/>
      <c r="W799" s="94"/>
      <c r="X799" s="94"/>
      <c r="Y799" s="38"/>
    </row>
    <row r="800" spans="1:25" ht="15.75" customHeight="1">
      <c r="A800" s="94"/>
      <c r="B800" s="94"/>
      <c r="C800" s="94"/>
      <c r="D800" s="94"/>
      <c r="E800" s="179"/>
      <c r="F800" s="94"/>
      <c r="G800" s="94"/>
      <c r="H800" s="94"/>
      <c r="I800" s="94"/>
      <c r="J800" s="94"/>
      <c r="K800" s="94"/>
      <c r="L800" s="94"/>
      <c r="M800" s="94"/>
      <c r="N800" s="94"/>
      <c r="O800" s="94"/>
      <c r="P800" s="94"/>
      <c r="Q800" s="94"/>
      <c r="R800" s="94"/>
      <c r="S800" s="94"/>
      <c r="T800" s="94"/>
      <c r="U800" s="94"/>
      <c r="V800" s="94"/>
      <c r="W800" s="94"/>
      <c r="X800" s="94"/>
      <c r="Y800" s="38"/>
    </row>
    <row r="801" spans="1:25" ht="15.75" customHeight="1">
      <c r="A801" s="94"/>
      <c r="B801" s="94"/>
      <c r="C801" s="94"/>
      <c r="D801" s="94"/>
      <c r="E801" s="179"/>
      <c r="F801" s="94"/>
      <c r="G801" s="94"/>
      <c r="H801" s="94"/>
      <c r="I801" s="94"/>
      <c r="J801" s="94"/>
      <c r="K801" s="94"/>
      <c r="L801" s="94"/>
      <c r="M801" s="94"/>
      <c r="N801" s="94"/>
      <c r="O801" s="94"/>
      <c r="P801" s="94"/>
      <c r="Q801" s="94"/>
      <c r="R801" s="94"/>
      <c r="S801" s="94"/>
      <c r="T801" s="94"/>
      <c r="U801" s="94"/>
      <c r="V801" s="94"/>
      <c r="W801" s="94"/>
      <c r="X801" s="94"/>
      <c r="Y801" s="38"/>
    </row>
    <row r="802" spans="1:25" ht="15.75" customHeight="1">
      <c r="A802" s="94"/>
      <c r="B802" s="94"/>
      <c r="C802" s="94"/>
      <c r="D802" s="94"/>
      <c r="E802" s="179"/>
      <c r="F802" s="94"/>
      <c r="G802" s="94"/>
      <c r="H802" s="94"/>
      <c r="I802" s="94"/>
      <c r="J802" s="94"/>
      <c r="K802" s="94"/>
      <c r="L802" s="94"/>
      <c r="M802" s="94"/>
      <c r="N802" s="94"/>
      <c r="O802" s="94"/>
      <c r="P802" s="94"/>
      <c r="Q802" s="94"/>
      <c r="R802" s="94"/>
      <c r="S802" s="94"/>
      <c r="T802" s="94"/>
      <c r="U802" s="94"/>
      <c r="V802" s="94"/>
      <c r="W802" s="94"/>
      <c r="X802" s="94"/>
      <c r="Y802" s="38"/>
    </row>
    <row r="803" spans="1:25" ht="15.75" customHeight="1">
      <c r="A803" s="94"/>
      <c r="B803" s="94"/>
      <c r="C803" s="94"/>
      <c r="D803" s="94"/>
      <c r="E803" s="179"/>
      <c r="F803" s="94"/>
      <c r="G803" s="94"/>
      <c r="H803" s="94"/>
      <c r="I803" s="94"/>
      <c r="J803" s="94"/>
      <c r="K803" s="94"/>
      <c r="L803" s="94"/>
      <c r="M803" s="94"/>
      <c r="N803" s="94"/>
      <c r="O803" s="94"/>
      <c r="P803" s="94"/>
      <c r="Q803" s="94"/>
      <c r="R803" s="94"/>
      <c r="S803" s="94"/>
      <c r="T803" s="94"/>
      <c r="U803" s="94"/>
      <c r="V803" s="94"/>
      <c r="W803" s="94"/>
      <c r="X803" s="94"/>
      <c r="Y803" s="38"/>
    </row>
    <row r="804" spans="1:25" ht="15.75" customHeight="1">
      <c r="A804" s="94"/>
      <c r="B804" s="94"/>
      <c r="C804" s="94"/>
      <c r="D804" s="94"/>
      <c r="E804" s="179"/>
      <c r="F804" s="94"/>
      <c r="G804" s="94"/>
      <c r="H804" s="94"/>
      <c r="I804" s="94"/>
      <c r="J804" s="94"/>
      <c r="K804" s="94"/>
      <c r="L804" s="94"/>
      <c r="M804" s="94"/>
      <c r="N804" s="94"/>
      <c r="O804" s="94"/>
      <c r="P804" s="94"/>
      <c r="Q804" s="94"/>
      <c r="R804" s="94"/>
      <c r="S804" s="94"/>
      <c r="T804" s="94"/>
      <c r="U804" s="94"/>
      <c r="V804" s="94"/>
      <c r="W804" s="94"/>
      <c r="X804" s="94"/>
      <c r="Y804" s="38"/>
    </row>
    <row r="805" spans="1:25" ht="15.75" customHeight="1">
      <c r="A805" s="94"/>
      <c r="B805" s="94"/>
      <c r="C805" s="94"/>
      <c r="D805" s="94"/>
      <c r="E805" s="179"/>
      <c r="F805" s="94"/>
      <c r="G805" s="94"/>
      <c r="H805" s="94"/>
      <c r="I805" s="94"/>
      <c r="J805" s="94"/>
      <c r="K805" s="94"/>
      <c r="L805" s="94"/>
      <c r="M805" s="94"/>
      <c r="N805" s="94"/>
      <c r="O805" s="94"/>
      <c r="P805" s="94"/>
      <c r="Q805" s="94"/>
      <c r="R805" s="94"/>
      <c r="S805" s="94"/>
      <c r="T805" s="94"/>
      <c r="U805" s="94"/>
      <c r="V805" s="94"/>
      <c r="W805" s="94"/>
      <c r="X805" s="94"/>
      <c r="Y805" s="38"/>
    </row>
    <row r="806" spans="1:25" ht="15.75" customHeight="1">
      <c r="A806" s="94"/>
      <c r="B806" s="94"/>
      <c r="C806" s="94"/>
      <c r="D806" s="94"/>
      <c r="E806" s="179"/>
      <c r="F806" s="94"/>
      <c r="G806" s="94"/>
      <c r="H806" s="94"/>
      <c r="I806" s="94"/>
      <c r="J806" s="94"/>
      <c r="K806" s="94"/>
      <c r="L806" s="94"/>
      <c r="M806" s="94"/>
      <c r="N806" s="94"/>
      <c r="O806" s="94"/>
      <c r="P806" s="94"/>
      <c r="Q806" s="94"/>
      <c r="R806" s="94"/>
      <c r="S806" s="94"/>
      <c r="T806" s="94"/>
      <c r="U806" s="94"/>
      <c r="V806" s="94"/>
      <c r="W806" s="94"/>
      <c r="X806" s="94"/>
      <c r="Y806" s="38"/>
    </row>
    <row r="807" spans="1:25" ht="15.75" customHeight="1">
      <c r="A807" s="94"/>
      <c r="B807" s="94"/>
      <c r="C807" s="94"/>
      <c r="D807" s="94"/>
      <c r="E807" s="179"/>
      <c r="F807" s="94"/>
      <c r="G807" s="94"/>
      <c r="H807" s="94"/>
      <c r="I807" s="94"/>
      <c r="J807" s="94"/>
      <c r="K807" s="94"/>
      <c r="L807" s="94"/>
      <c r="M807" s="94"/>
      <c r="N807" s="94"/>
      <c r="O807" s="94"/>
      <c r="P807" s="94"/>
      <c r="Q807" s="94"/>
      <c r="R807" s="94"/>
      <c r="S807" s="94"/>
      <c r="T807" s="94"/>
      <c r="U807" s="94"/>
      <c r="V807" s="94"/>
      <c r="W807" s="94"/>
      <c r="X807" s="94"/>
      <c r="Y807" s="38"/>
    </row>
    <row r="808" spans="1:25" ht="15.75" customHeight="1">
      <c r="A808" s="94"/>
      <c r="B808" s="94"/>
      <c r="C808" s="94"/>
      <c r="D808" s="94"/>
      <c r="E808" s="179"/>
      <c r="F808" s="94"/>
      <c r="G808" s="94"/>
      <c r="H808" s="94"/>
      <c r="I808" s="94"/>
      <c r="J808" s="94"/>
      <c r="K808" s="94"/>
      <c r="L808" s="94"/>
      <c r="M808" s="94"/>
      <c r="N808" s="94"/>
      <c r="O808" s="94"/>
      <c r="P808" s="94"/>
      <c r="Q808" s="94"/>
      <c r="R808" s="94"/>
      <c r="S808" s="94"/>
      <c r="T808" s="94"/>
      <c r="U808" s="94"/>
      <c r="V808" s="94"/>
      <c r="W808" s="94"/>
      <c r="X808" s="94"/>
      <c r="Y808" s="38"/>
    </row>
    <row r="809" spans="1:25" ht="15.75" customHeight="1">
      <c r="A809" s="94"/>
      <c r="B809" s="94"/>
      <c r="C809" s="94"/>
      <c r="D809" s="94"/>
      <c r="E809" s="179"/>
      <c r="F809" s="94"/>
      <c r="G809" s="94"/>
      <c r="H809" s="94"/>
      <c r="I809" s="94"/>
      <c r="J809" s="94"/>
      <c r="K809" s="94"/>
      <c r="L809" s="94"/>
      <c r="M809" s="94"/>
      <c r="N809" s="94"/>
      <c r="O809" s="94"/>
      <c r="P809" s="94"/>
      <c r="Q809" s="94"/>
      <c r="R809" s="94"/>
      <c r="S809" s="94"/>
      <c r="T809" s="94"/>
      <c r="U809" s="94"/>
      <c r="V809" s="94"/>
      <c r="W809" s="94"/>
      <c r="X809" s="94"/>
      <c r="Y809" s="38"/>
    </row>
    <row r="810" spans="1:25" ht="15.75" customHeight="1">
      <c r="A810" s="94"/>
      <c r="B810" s="94"/>
      <c r="C810" s="94"/>
      <c r="D810" s="94"/>
      <c r="E810" s="179"/>
      <c r="F810" s="94"/>
      <c r="G810" s="94"/>
      <c r="H810" s="94"/>
      <c r="I810" s="94"/>
      <c r="J810" s="94"/>
      <c r="K810" s="94"/>
      <c r="L810" s="94"/>
      <c r="M810" s="94"/>
      <c r="N810" s="94"/>
      <c r="O810" s="94"/>
      <c r="P810" s="94"/>
      <c r="Q810" s="94"/>
      <c r="R810" s="94"/>
      <c r="S810" s="94"/>
      <c r="T810" s="94"/>
      <c r="U810" s="94"/>
      <c r="V810" s="94"/>
      <c r="W810" s="94"/>
      <c r="X810" s="94"/>
      <c r="Y810" s="38"/>
    </row>
    <row r="811" spans="1:25" ht="15.75" customHeight="1">
      <c r="A811" s="94"/>
      <c r="B811" s="94"/>
      <c r="C811" s="94"/>
      <c r="D811" s="94"/>
      <c r="E811" s="179"/>
      <c r="F811" s="94"/>
      <c r="G811" s="94"/>
      <c r="H811" s="94"/>
      <c r="I811" s="94"/>
      <c r="J811" s="94"/>
      <c r="K811" s="94"/>
      <c r="L811" s="94"/>
      <c r="M811" s="94"/>
      <c r="N811" s="94"/>
      <c r="O811" s="94"/>
      <c r="P811" s="94"/>
      <c r="Q811" s="94"/>
      <c r="R811" s="94"/>
      <c r="S811" s="94"/>
      <c r="T811" s="94"/>
      <c r="U811" s="94"/>
      <c r="V811" s="94"/>
      <c r="W811" s="94"/>
      <c r="X811" s="94"/>
      <c r="Y811" s="38"/>
    </row>
    <row r="812" spans="1:25" ht="15.75" customHeight="1">
      <c r="A812" s="94"/>
      <c r="B812" s="94"/>
      <c r="C812" s="94"/>
      <c r="D812" s="94"/>
      <c r="E812" s="179"/>
      <c r="F812" s="94"/>
      <c r="G812" s="94"/>
      <c r="H812" s="94"/>
      <c r="I812" s="94"/>
      <c r="J812" s="94"/>
      <c r="K812" s="94"/>
      <c r="L812" s="94"/>
      <c r="M812" s="94"/>
      <c r="N812" s="94"/>
      <c r="O812" s="94"/>
      <c r="P812" s="94"/>
      <c r="Q812" s="94"/>
      <c r="R812" s="94"/>
      <c r="S812" s="94"/>
      <c r="T812" s="94"/>
      <c r="U812" s="94"/>
      <c r="V812" s="94"/>
      <c r="W812" s="94"/>
      <c r="X812" s="94"/>
      <c r="Y812" s="38"/>
    </row>
    <row r="813" spans="1:25" ht="15.75" customHeight="1">
      <c r="A813" s="94"/>
      <c r="B813" s="94"/>
      <c r="C813" s="94"/>
      <c r="D813" s="94"/>
      <c r="E813" s="179"/>
      <c r="F813" s="94"/>
      <c r="G813" s="94"/>
      <c r="H813" s="94"/>
      <c r="I813" s="94"/>
      <c r="J813" s="94"/>
      <c r="K813" s="94"/>
      <c r="L813" s="94"/>
      <c r="M813" s="94"/>
      <c r="N813" s="94"/>
      <c r="O813" s="94"/>
      <c r="P813" s="94"/>
      <c r="Q813" s="94"/>
      <c r="R813" s="94"/>
      <c r="S813" s="94"/>
      <c r="T813" s="94"/>
      <c r="U813" s="94"/>
      <c r="V813" s="94"/>
      <c r="W813" s="94"/>
      <c r="X813" s="94"/>
      <c r="Y813" s="38"/>
    </row>
    <row r="814" spans="1:25" ht="15.75" customHeight="1">
      <c r="A814" s="94"/>
      <c r="B814" s="94"/>
      <c r="C814" s="94"/>
      <c r="D814" s="94"/>
      <c r="E814" s="179"/>
      <c r="F814" s="94"/>
      <c r="G814" s="94"/>
      <c r="H814" s="94"/>
      <c r="I814" s="94"/>
      <c r="J814" s="94"/>
      <c r="K814" s="94"/>
      <c r="L814" s="94"/>
      <c r="M814" s="94"/>
      <c r="N814" s="94"/>
      <c r="O814" s="94"/>
      <c r="P814" s="94"/>
      <c r="Q814" s="94"/>
      <c r="R814" s="94"/>
      <c r="S814" s="94"/>
      <c r="T814" s="94"/>
      <c r="U814" s="94"/>
      <c r="V814" s="94"/>
      <c r="W814" s="94"/>
      <c r="X814" s="94"/>
      <c r="Y814" s="38"/>
    </row>
    <row r="815" spans="1:25" ht="15.75" customHeight="1">
      <c r="A815" s="94"/>
      <c r="B815" s="94"/>
      <c r="C815" s="94"/>
      <c r="D815" s="94"/>
      <c r="E815" s="179"/>
      <c r="F815" s="94"/>
      <c r="G815" s="94"/>
      <c r="H815" s="94"/>
      <c r="I815" s="94"/>
      <c r="J815" s="94"/>
      <c r="K815" s="94"/>
      <c r="L815" s="94"/>
      <c r="M815" s="94"/>
      <c r="N815" s="94"/>
      <c r="O815" s="94"/>
      <c r="P815" s="94"/>
      <c r="Q815" s="94"/>
      <c r="R815" s="94"/>
      <c r="S815" s="94"/>
      <c r="T815" s="94"/>
      <c r="U815" s="94"/>
      <c r="V815" s="94"/>
      <c r="W815" s="94"/>
      <c r="X815" s="94"/>
      <c r="Y815" s="38"/>
    </row>
    <row r="816" spans="1:25" ht="15.75" customHeight="1">
      <c r="A816" s="94"/>
      <c r="B816" s="94"/>
      <c r="C816" s="94"/>
      <c r="D816" s="94"/>
      <c r="E816" s="179"/>
      <c r="F816" s="94"/>
      <c r="G816" s="94"/>
      <c r="H816" s="94"/>
      <c r="I816" s="94"/>
      <c r="J816" s="94"/>
      <c r="K816" s="94"/>
      <c r="L816" s="94"/>
      <c r="M816" s="94"/>
      <c r="N816" s="94"/>
      <c r="O816" s="94"/>
      <c r="P816" s="94"/>
      <c r="Q816" s="94"/>
      <c r="R816" s="94"/>
      <c r="S816" s="94"/>
      <c r="T816" s="94"/>
      <c r="U816" s="94"/>
      <c r="V816" s="94"/>
      <c r="W816" s="94"/>
      <c r="X816" s="94"/>
      <c r="Y816" s="38"/>
    </row>
    <row r="817" spans="1:25" ht="15.75" customHeight="1">
      <c r="A817" s="94"/>
      <c r="B817" s="94"/>
      <c r="C817" s="94"/>
      <c r="D817" s="94"/>
      <c r="E817" s="179"/>
      <c r="F817" s="94"/>
      <c r="G817" s="94"/>
      <c r="H817" s="94"/>
      <c r="I817" s="94"/>
      <c r="J817" s="94"/>
      <c r="K817" s="94"/>
      <c r="L817" s="94"/>
      <c r="M817" s="94"/>
      <c r="N817" s="94"/>
      <c r="O817" s="94"/>
      <c r="P817" s="94"/>
      <c r="Q817" s="94"/>
      <c r="R817" s="94"/>
      <c r="S817" s="94"/>
      <c r="T817" s="94"/>
      <c r="U817" s="94"/>
      <c r="V817" s="94"/>
      <c r="W817" s="94"/>
      <c r="X817" s="94"/>
      <c r="Y817" s="38"/>
    </row>
    <row r="818" spans="1:25" ht="15.75" customHeight="1">
      <c r="A818" s="94"/>
      <c r="B818" s="94"/>
      <c r="C818" s="94"/>
      <c r="D818" s="94"/>
      <c r="E818" s="179"/>
      <c r="F818" s="94"/>
      <c r="G818" s="94"/>
      <c r="H818" s="94"/>
      <c r="I818" s="94"/>
      <c r="J818" s="94"/>
      <c r="K818" s="94"/>
      <c r="L818" s="94"/>
      <c r="M818" s="94"/>
      <c r="N818" s="94"/>
      <c r="O818" s="94"/>
      <c r="P818" s="94"/>
      <c r="Q818" s="94"/>
      <c r="R818" s="94"/>
      <c r="S818" s="94"/>
      <c r="T818" s="94"/>
      <c r="U818" s="94"/>
      <c r="V818" s="94"/>
      <c r="W818" s="94"/>
      <c r="X818" s="94"/>
      <c r="Y818" s="38"/>
    </row>
    <row r="819" spans="1:25" ht="15.75" customHeight="1">
      <c r="A819" s="94"/>
      <c r="B819" s="94"/>
      <c r="C819" s="94"/>
      <c r="D819" s="94"/>
      <c r="E819" s="179"/>
      <c r="F819" s="94"/>
      <c r="G819" s="94"/>
      <c r="H819" s="94"/>
      <c r="I819" s="94"/>
      <c r="J819" s="94"/>
      <c r="K819" s="94"/>
      <c r="L819" s="94"/>
      <c r="M819" s="94"/>
      <c r="N819" s="94"/>
      <c r="O819" s="94"/>
      <c r="P819" s="94"/>
      <c r="Q819" s="94"/>
      <c r="R819" s="94"/>
      <c r="S819" s="94"/>
      <c r="T819" s="94"/>
      <c r="U819" s="94"/>
      <c r="V819" s="94"/>
      <c r="W819" s="94"/>
      <c r="X819" s="94"/>
      <c r="Y819" s="38"/>
    </row>
    <row r="820" spans="1:25" ht="15.75" customHeight="1">
      <c r="A820" s="94"/>
      <c r="B820" s="94"/>
      <c r="C820" s="94"/>
      <c r="D820" s="94"/>
      <c r="E820" s="179"/>
      <c r="F820" s="94"/>
      <c r="G820" s="94"/>
      <c r="H820" s="94"/>
      <c r="I820" s="94"/>
      <c r="J820" s="94"/>
      <c r="K820" s="94"/>
      <c r="L820" s="94"/>
      <c r="M820" s="94"/>
      <c r="N820" s="94"/>
      <c r="O820" s="94"/>
      <c r="P820" s="94"/>
      <c r="Q820" s="94"/>
      <c r="R820" s="94"/>
      <c r="S820" s="94"/>
      <c r="T820" s="94"/>
      <c r="U820" s="94"/>
      <c r="V820" s="94"/>
      <c r="W820" s="94"/>
      <c r="X820" s="94"/>
      <c r="Y820" s="38"/>
    </row>
    <row r="821" spans="1:25" ht="15.75" customHeight="1">
      <c r="A821" s="94"/>
      <c r="B821" s="94"/>
      <c r="C821" s="94"/>
      <c r="D821" s="94"/>
      <c r="E821" s="179"/>
      <c r="F821" s="94"/>
      <c r="G821" s="94"/>
      <c r="H821" s="94"/>
      <c r="I821" s="94"/>
      <c r="J821" s="94"/>
      <c r="K821" s="94"/>
      <c r="L821" s="94"/>
      <c r="M821" s="94"/>
      <c r="N821" s="94"/>
      <c r="O821" s="94"/>
      <c r="P821" s="94"/>
      <c r="Q821" s="94"/>
      <c r="R821" s="94"/>
      <c r="S821" s="94"/>
      <c r="T821" s="94"/>
      <c r="U821" s="94"/>
      <c r="V821" s="94"/>
      <c r="W821" s="94"/>
      <c r="X821" s="94"/>
      <c r="Y821" s="38"/>
    </row>
    <row r="822" spans="1:25" ht="15.75" customHeight="1">
      <c r="A822" s="94"/>
      <c r="B822" s="94"/>
      <c r="C822" s="94"/>
      <c r="D822" s="94"/>
      <c r="E822" s="179"/>
      <c r="F822" s="94"/>
      <c r="G822" s="94"/>
      <c r="H822" s="94"/>
      <c r="I822" s="94"/>
      <c r="J822" s="94"/>
      <c r="K822" s="94"/>
      <c r="L822" s="94"/>
      <c r="M822" s="94"/>
      <c r="N822" s="94"/>
      <c r="O822" s="94"/>
      <c r="P822" s="94"/>
      <c r="Q822" s="94"/>
      <c r="R822" s="94"/>
      <c r="S822" s="94"/>
      <c r="T822" s="94"/>
      <c r="U822" s="94"/>
      <c r="V822" s="94"/>
      <c r="W822" s="94"/>
      <c r="X822" s="94"/>
      <c r="Y822" s="38"/>
    </row>
    <row r="823" spans="1:25" ht="15.75" customHeight="1">
      <c r="A823" s="94"/>
      <c r="B823" s="94"/>
      <c r="C823" s="94"/>
      <c r="D823" s="94"/>
      <c r="E823" s="179"/>
      <c r="F823" s="94"/>
      <c r="G823" s="94"/>
      <c r="H823" s="94"/>
      <c r="I823" s="94"/>
      <c r="J823" s="94"/>
      <c r="K823" s="94"/>
      <c r="L823" s="94"/>
      <c r="M823" s="94"/>
      <c r="N823" s="94"/>
      <c r="O823" s="94"/>
      <c r="P823" s="94"/>
      <c r="Q823" s="94"/>
      <c r="R823" s="94"/>
      <c r="S823" s="94"/>
      <c r="T823" s="94"/>
      <c r="U823" s="94"/>
      <c r="V823" s="94"/>
      <c r="W823" s="94"/>
      <c r="X823" s="94"/>
      <c r="Y823" s="38"/>
    </row>
    <row r="824" spans="1:25" ht="15.75" customHeight="1">
      <c r="A824" s="94"/>
      <c r="B824" s="94"/>
      <c r="C824" s="94"/>
      <c r="D824" s="94"/>
      <c r="E824" s="179"/>
      <c r="F824" s="94"/>
      <c r="G824" s="94"/>
      <c r="H824" s="94"/>
      <c r="I824" s="94"/>
      <c r="J824" s="94"/>
      <c r="K824" s="94"/>
      <c r="L824" s="94"/>
      <c r="M824" s="94"/>
      <c r="N824" s="94"/>
      <c r="O824" s="94"/>
      <c r="P824" s="94"/>
      <c r="Q824" s="94"/>
      <c r="R824" s="94"/>
      <c r="S824" s="94"/>
      <c r="T824" s="94"/>
      <c r="U824" s="94"/>
      <c r="V824" s="94"/>
      <c r="W824" s="94"/>
      <c r="X824" s="94"/>
      <c r="Y824" s="38"/>
    </row>
    <row r="825" spans="1:25" ht="15.75" customHeight="1">
      <c r="A825" s="94"/>
      <c r="B825" s="94"/>
      <c r="C825" s="94"/>
      <c r="D825" s="94"/>
      <c r="E825" s="179"/>
      <c r="F825" s="94"/>
      <c r="G825" s="94"/>
      <c r="H825" s="94"/>
      <c r="I825" s="94"/>
      <c r="J825" s="94"/>
      <c r="K825" s="94"/>
      <c r="L825" s="94"/>
      <c r="M825" s="94"/>
      <c r="N825" s="94"/>
      <c r="O825" s="94"/>
      <c r="P825" s="94"/>
      <c r="Q825" s="94"/>
      <c r="R825" s="94"/>
      <c r="S825" s="94"/>
      <c r="T825" s="94"/>
      <c r="U825" s="94"/>
      <c r="V825" s="94"/>
      <c r="W825" s="94"/>
      <c r="X825" s="94"/>
      <c r="Y825" s="38"/>
    </row>
    <row r="826" spans="1:25" ht="15.75" customHeight="1">
      <c r="A826" s="94"/>
      <c r="B826" s="94"/>
      <c r="C826" s="94"/>
      <c r="D826" s="94"/>
      <c r="E826" s="179"/>
      <c r="F826" s="94"/>
      <c r="G826" s="94"/>
      <c r="H826" s="94"/>
      <c r="I826" s="94"/>
      <c r="J826" s="94"/>
      <c r="K826" s="94"/>
      <c r="L826" s="94"/>
      <c r="M826" s="94"/>
      <c r="N826" s="94"/>
      <c r="O826" s="94"/>
      <c r="P826" s="94"/>
      <c r="Q826" s="94"/>
      <c r="R826" s="94"/>
      <c r="S826" s="94"/>
      <c r="T826" s="94"/>
      <c r="U826" s="94"/>
      <c r="V826" s="94"/>
      <c r="W826" s="94"/>
      <c r="X826" s="94"/>
      <c r="Y826" s="38"/>
    </row>
    <row r="827" spans="1:25" ht="15.75" customHeight="1">
      <c r="A827" s="94"/>
      <c r="B827" s="94"/>
      <c r="C827" s="94"/>
      <c r="D827" s="94"/>
      <c r="E827" s="179"/>
      <c r="F827" s="94"/>
      <c r="G827" s="94"/>
      <c r="H827" s="94"/>
      <c r="I827" s="94"/>
      <c r="J827" s="94"/>
      <c r="K827" s="94"/>
      <c r="L827" s="94"/>
      <c r="M827" s="94"/>
      <c r="N827" s="94"/>
      <c r="O827" s="94"/>
      <c r="P827" s="94"/>
      <c r="Q827" s="94"/>
      <c r="R827" s="94"/>
      <c r="S827" s="94"/>
      <c r="T827" s="94"/>
      <c r="U827" s="94"/>
      <c r="V827" s="94"/>
      <c r="W827" s="94"/>
      <c r="X827" s="94"/>
      <c r="Y827" s="38"/>
    </row>
    <row r="828" spans="1:25" ht="15.75" customHeight="1">
      <c r="A828" s="94"/>
      <c r="B828" s="94"/>
      <c r="C828" s="94"/>
      <c r="D828" s="94"/>
      <c r="E828" s="179"/>
      <c r="F828" s="94"/>
      <c r="G828" s="94"/>
      <c r="H828" s="94"/>
      <c r="I828" s="94"/>
      <c r="J828" s="94"/>
      <c r="K828" s="94"/>
      <c r="L828" s="94"/>
      <c r="M828" s="94"/>
      <c r="N828" s="94"/>
      <c r="O828" s="94"/>
      <c r="P828" s="94"/>
      <c r="Q828" s="94"/>
      <c r="R828" s="94"/>
      <c r="S828" s="94"/>
      <c r="T828" s="94"/>
      <c r="U828" s="94"/>
      <c r="V828" s="94"/>
      <c r="W828" s="94"/>
      <c r="X828" s="94"/>
      <c r="Y828" s="38"/>
    </row>
    <row r="829" spans="1:25" ht="15.75" customHeight="1">
      <c r="A829" s="94"/>
      <c r="B829" s="94"/>
      <c r="C829" s="94"/>
      <c r="D829" s="94"/>
      <c r="E829" s="179"/>
      <c r="F829" s="94"/>
      <c r="G829" s="94"/>
      <c r="H829" s="94"/>
      <c r="I829" s="94"/>
      <c r="J829" s="94"/>
      <c r="K829" s="94"/>
      <c r="L829" s="94"/>
      <c r="M829" s="94"/>
      <c r="N829" s="94"/>
      <c r="O829" s="94"/>
      <c r="P829" s="94"/>
      <c r="Q829" s="94"/>
      <c r="R829" s="94"/>
      <c r="S829" s="94"/>
      <c r="T829" s="94"/>
      <c r="U829" s="94"/>
      <c r="V829" s="94"/>
      <c r="W829" s="94"/>
      <c r="X829" s="94"/>
      <c r="Y829" s="38"/>
    </row>
    <row r="830" spans="1:25" ht="15.75" customHeight="1">
      <c r="A830" s="94"/>
      <c r="B830" s="94"/>
      <c r="C830" s="94"/>
      <c r="D830" s="94"/>
      <c r="E830" s="179"/>
      <c r="F830" s="94"/>
      <c r="G830" s="94"/>
      <c r="H830" s="94"/>
      <c r="I830" s="94"/>
      <c r="J830" s="94"/>
      <c r="K830" s="94"/>
      <c r="L830" s="94"/>
      <c r="M830" s="94"/>
      <c r="N830" s="94"/>
      <c r="O830" s="94"/>
      <c r="P830" s="94"/>
      <c r="Q830" s="94"/>
      <c r="R830" s="94"/>
      <c r="S830" s="94"/>
      <c r="T830" s="94"/>
      <c r="U830" s="94"/>
      <c r="V830" s="94"/>
      <c r="W830" s="94"/>
      <c r="X830" s="94"/>
      <c r="Y830" s="38"/>
    </row>
    <row r="831" spans="1:25" ht="15.75" customHeight="1">
      <c r="A831" s="94"/>
      <c r="B831" s="94"/>
      <c r="C831" s="94"/>
      <c r="D831" s="94"/>
      <c r="E831" s="179"/>
      <c r="F831" s="94"/>
      <c r="G831" s="94"/>
      <c r="H831" s="94"/>
      <c r="I831" s="94"/>
      <c r="J831" s="94"/>
      <c r="K831" s="94"/>
      <c r="L831" s="94"/>
      <c r="M831" s="94"/>
      <c r="N831" s="94"/>
      <c r="O831" s="94"/>
      <c r="P831" s="94"/>
      <c r="Q831" s="94"/>
      <c r="R831" s="94"/>
      <c r="S831" s="94"/>
      <c r="T831" s="94"/>
      <c r="U831" s="94"/>
      <c r="V831" s="94"/>
      <c r="W831" s="94"/>
      <c r="X831" s="94"/>
      <c r="Y831" s="38"/>
    </row>
    <row r="832" spans="1:25" ht="15.75" customHeight="1">
      <c r="A832" s="94"/>
      <c r="B832" s="94"/>
      <c r="C832" s="94"/>
      <c r="D832" s="94"/>
      <c r="E832" s="179"/>
      <c r="F832" s="94"/>
      <c r="G832" s="94"/>
      <c r="H832" s="94"/>
      <c r="I832" s="94"/>
      <c r="J832" s="94"/>
      <c r="K832" s="94"/>
      <c r="L832" s="94"/>
      <c r="M832" s="94"/>
      <c r="N832" s="94"/>
      <c r="O832" s="94"/>
      <c r="P832" s="94"/>
      <c r="Q832" s="94"/>
      <c r="R832" s="94"/>
      <c r="S832" s="94"/>
      <c r="T832" s="94"/>
      <c r="U832" s="94"/>
      <c r="V832" s="94"/>
      <c r="W832" s="94"/>
      <c r="X832" s="94"/>
      <c r="Y832" s="38"/>
    </row>
    <row r="833" spans="1:25" ht="15.75" customHeight="1">
      <c r="A833" s="94"/>
      <c r="B833" s="94"/>
      <c r="C833" s="94"/>
      <c r="D833" s="94"/>
      <c r="E833" s="179"/>
      <c r="F833" s="94"/>
      <c r="G833" s="94"/>
      <c r="H833" s="94"/>
      <c r="I833" s="94"/>
      <c r="J833" s="94"/>
      <c r="K833" s="94"/>
      <c r="L833" s="94"/>
      <c r="M833" s="94"/>
      <c r="N833" s="94"/>
      <c r="O833" s="94"/>
      <c r="P833" s="94"/>
      <c r="Q833" s="94"/>
      <c r="R833" s="94"/>
      <c r="S833" s="94"/>
      <c r="T833" s="94"/>
      <c r="U833" s="94"/>
      <c r="V833" s="94"/>
      <c r="W833" s="94"/>
      <c r="X833" s="94"/>
      <c r="Y833" s="38"/>
    </row>
    <row r="834" spans="1:25" ht="15.75" customHeight="1">
      <c r="A834" s="94"/>
      <c r="B834" s="94"/>
      <c r="C834" s="94"/>
      <c r="D834" s="94"/>
      <c r="E834" s="179"/>
      <c r="F834" s="94"/>
      <c r="G834" s="94"/>
      <c r="H834" s="94"/>
      <c r="I834" s="94"/>
      <c r="J834" s="94"/>
      <c r="K834" s="94"/>
      <c r="L834" s="94"/>
      <c r="M834" s="94"/>
      <c r="N834" s="94"/>
      <c r="O834" s="94"/>
      <c r="P834" s="94"/>
      <c r="Q834" s="94"/>
      <c r="R834" s="94"/>
      <c r="S834" s="94"/>
      <c r="T834" s="94"/>
      <c r="U834" s="94"/>
      <c r="V834" s="94"/>
      <c r="W834" s="94"/>
      <c r="X834" s="94"/>
      <c r="Y834" s="38"/>
    </row>
    <row r="835" spans="1:25" ht="15.75" customHeight="1">
      <c r="A835" s="94"/>
      <c r="B835" s="94"/>
      <c r="C835" s="94"/>
      <c r="D835" s="94"/>
      <c r="E835" s="179"/>
      <c r="F835" s="94"/>
      <c r="G835" s="94"/>
      <c r="H835" s="94"/>
      <c r="I835" s="94"/>
      <c r="J835" s="94"/>
      <c r="K835" s="94"/>
      <c r="L835" s="94"/>
      <c r="M835" s="94"/>
      <c r="N835" s="94"/>
      <c r="O835" s="94"/>
      <c r="P835" s="94"/>
      <c r="Q835" s="94"/>
      <c r="R835" s="94"/>
      <c r="S835" s="94"/>
      <c r="T835" s="94"/>
      <c r="U835" s="94"/>
      <c r="V835" s="94"/>
      <c r="W835" s="94"/>
      <c r="X835" s="94"/>
      <c r="Y835" s="38"/>
    </row>
    <row r="836" spans="1:25" ht="15.75" customHeight="1">
      <c r="A836" s="94"/>
      <c r="B836" s="94"/>
      <c r="C836" s="94"/>
      <c r="D836" s="94"/>
      <c r="E836" s="179"/>
      <c r="F836" s="94"/>
      <c r="G836" s="94"/>
      <c r="H836" s="94"/>
      <c r="I836" s="94"/>
      <c r="J836" s="94"/>
      <c r="K836" s="94"/>
      <c r="L836" s="94"/>
      <c r="M836" s="94"/>
      <c r="N836" s="94"/>
      <c r="O836" s="94"/>
      <c r="P836" s="94"/>
      <c r="Q836" s="94"/>
      <c r="R836" s="94"/>
      <c r="S836" s="94"/>
      <c r="T836" s="94"/>
      <c r="U836" s="94"/>
      <c r="V836" s="94"/>
      <c r="W836" s="94"/>
      <c r="X836" s="94"/>
      <c r="Y836" s="38"/>
    </row>
    <row r="837" spans="1:25" ht="15.75" customHeight="1">
      <c r="A837" s="94"/>
      <c r="B837" s="94"/>
      <c r="C837" s="94"/>
      <c r="D837" s="94"/>
      <c r="E837" s="179"/>
      <c r="F837" s="94"/>
      <c r="G837" s="94"/>
      <c r="H837" s="94"/>
      <c r="I837" s="94"/>
      <c r="J837" s="94"/>
      <c r="K837" s="94"/>
      <c r="L837" s="94"/>
      <c r="M837" s="94"/>
      <c r="N837" s="94"/>
      <c r="O837" s="94"/>
      <c r="P837" s="94"/>
      <c r="Q837" s="94"/>
      <c r="R837" s="94"/>
      <c r="S837" s="94"/>
      <c r="T837" s="94"/>
      <c r="U837" s="94"/>
      <c r="V837" s="94"/>
      <c r="W837" s="94"/>
      <c r="X837" s="94"/>
      <c r="Y837" s="38"/>
    </row>
    <row r="838" spans="1:25" ht="15.75" customHeight="1">
      <c r="A838" s="94"/>
      <c r="B838" s="94"/>
      <c r="C838" s="94"/>
      <c r="D838" s="94"/>
      <c r="E838" s="179"/>
      <c r="F838" s="94"/>
      <c r="G838" s="94"/>
      <c r="H838" s="94"/>
      <c r="I838" s="94"/>
      <c r="J838" s="94"/>
      <c r="K838" s="94"/>
      <c r="L838" s="94"/>
      <c r="M838" s="94"/>
      <c r="N838" s="94"/>
      <c r="O838" s="94"/>
      <c r="P838" s="94"/>
      <c r="Q838" s="94"/>
      <c r="R838" s="94"/>
      <c r="S838" s="94"/>
      <c r="T838" s="94"/>
      <c r="U838" s="94"/>
      <c r="V838" s="94"/>
      <c r="W838" s="94"/>
      <c r="X838" s="94"/>
      <c r="Y838" s="38"/>
    </row>
    <row r="839" spans="1:25" ht="15.75" customHeight="1">
      <c r="A839" s="94"/>
      <c r="B839" s="94"/>
      <c r="C839" s="94"/>
      <c r="D839" s="94"/>
      <c r="E839" s="179"/>
      <c r="F839" s="94"/>
      <c r="G839" s="94"/>
      <c r="H839" s="94"/>
      <c r="I839" s="94"/>
      <c r="J839" s="94"/>
      <c r="K839" s="94"/>
      <c r="L839" s="94"/>
      <c r="M839" s="94"/>
      <c r="N839" s="94"/>
      <c r="O839" s="94"/>
      <c r="P839" s="94"/>
      <c r="Q839" s="94"/>
      <c r="R839" s="94"/>
      <c r="S839" s="94"/>
      <c r="T839" s="94"/>
      <c r="U839" s="94"/>
      <c r="V839" s="94"/>
      <c r="W839" s="94"/>
      <c r="X839" s="94"/>
      <c r="Y839" s="38"/>
    </row>
    <row r="840" spans="1:25" ht="15.75" customHeight="1">
      <c r="A840" s="94"/>
      <c r="B840" s="94"/>
      <c r="C840" s="94"/>
      <c r="D840" s="94"/>
      <c r="E840" s="179"/>
      <c r="F840" s="94"/>
      <c r="G840" s="94"/>
      <c r="H840" s="94"/>
      <c r="I840" s="94"/>
      <c r="J840" s="94"/>
      <c r="K840" s="94"/>
      <c r="L840" s="94"/>
      <c r="M840" s="94"/>
      <c r="N840" s="94"/>
      <c r="O840" s="94"/>
      <c r="P840" s="94"/>
      <c r="Q840" s="94"/>
      <c r="R840" s="94"/>
      <c r="S840" s="94"/>
      <c r="T840" s="94"/>
      <c r="U840" s="94"/>
      <c r="V840" s="94"/>
      <c r="W840" s="94"/>
      <c r="X840" s="94"/>
      <c r="Y840" s="38"/>
    </row>
    <row r="841" spans="1:25" ht="15.75" customHeight="1">
      <c r="A841" s="94"/>
      <c r="B841" s="94"/>
      <c r="C841" s="94"/>
      <c r="D841" s="94"/>
      <c r="E841" s="179"/>
      <c r="F841" s="94"/>
      <c r="G841" s="94"/>
      <c r="H841" s="94"/>
      <c r="I841" s="94"/>
      <c r="J841" s="94"/>
      <c r="K841" s="94"/>
      <c r="L841" s="94"/>
      <c r="M841" s="94"/>
      <c r="N841" s="94"/>
      <c r="O841" s="94"/>
      <c r="P841" s="94"/>
      <c r="Q841" s="94"/>
      <c r="R841" s="94"/>
      <c r="S841" s="94"/>
      <c r="T841" s="94"/>
      <c r="U841" s="94"/>
      <c r="V841" s="94"/>
      <c r="W841" s="94"/>
      <c r="X841" s="94"/>
      <c r="Y841" s="38"/>
    </row>
    <row r="842" spans="1:25" ht="15.75" customHeight="1">
      <c r="A842" s="94"/>
      <c r="B842" s="94"/>
      <c r="C842" s="94"/>
      <c r="D842" s="94"/>
      <c r="E842" s="179"/>
      <c r="F842" s="94"/>
      <c r="G842" s="94"/>
      <c r="H842" s="94"/>
      <c r="I842" s="94"/>
      <c r="J842" s="94"/>
      <c r="K842" s="94"/>
      <c r="L842" s="94"/>
      <c r="M842" s="94"/>
      <c r="N842" s="94"/>
      <c r="O842" s="94"/>
      <c r="P842" s="94"/>
      <c r="Q842" s="94"/>
      <c r="R842" s="94"/>
      <c r="S842" s="94"/>
      <c r="T842" s="94"/>
      <c r="U842" s="94"/>
      <c r="V842" s="94"/>
      <c r="W842" s="94"/>
      <c r="X842" s="94"/>
      <c r="Y842" s="38"/>
    </row>
    <row r="843" spans="1:25" ht="15.75" customHeight="1">
      <c r="A843" s="94"/>
      <c r="B843" s="94"/>
      <c r="C843" s="94"/>
      <c r="D843" s="94"/>
      <c r="E843" s="179"/>
      <c r="F843" s="94"/>
      <c r="G843" s="94"/>
      <c r="H843" s="94"/>
      <c r="I843" s="94"/>
      <c r="J843" s="94"/>
      <c r="K843" s="94"/>
      <c r="L843" s="94"/>
      <c r="M843" s="94"/>
      <c r="N843" s="94"/>
      <c r="O843" s="94"/>
      <c r="P843" s="94"/>
      <c r="Q843" s="94"/>
      <c r="R843" s="94"/>
      <c r="S843" s="94"/>
      <c r="T843" s="94"/>
      <c r="U843" s="94"/>
      <c r="V843" s="94"/>
      <c r="W843" s="94"/>
      <c r="X843" s="94"/>
      <c r="Y843" s="38"/>
    </row>
    <row r="844" spans="1:25" ht="15.75" customHeight="1">
      <c r="A844" s="94"/>
      <c r="B844" s="94"/>
      <c r="C844" s="94"/>
      <c r="D844" s="94"/>
      <c r="E844" s="179"/>
      <c r="F844" s="94"/>
      <c r="G844" s="94"/>
      <c r="H844" s="94"/>
      <c r="I844" s="94"/>
      <c r="J844" s="94"/>
      <c r="K844" s="94"/>
      <c r="L844" s="94"/>
      <c r="M844" s="94"/>
      <c r="N844" s="94"/>
      <c r="O844" s="94"/>
      <c r="P844" s="94"/>
      <c r="Q844" s="94"/>
      <c r="R844" s="94"/>
      <c r="S844" s="94"/>
      <c r="T844" s="94"/>
      <c r="U844" s="94"/>
      <c r="V844" s="94"/>
      <c r="W844" s="94"/>
      <c r="X844" s="94"/>
      <c r="Y844" s="38"/>
    </row>
    <row r="845" spans="1:25" ht="15.75" customHeight="1">
      <c r="A845" s="94"/>
      <c r="B845" s="94"/>
      <c r="C845" s="94"/>
      <c r="D845" s="94"/>
      <c r="E845" s="179"/>
      <c r="F845" s="94"/>
      <c r="G845" s="94"/>
      <c r="H845" s="94"/>
      <c r="I845" s="94"/>
      <c r="J845" s="94"/>
      <c r="K845" s="94"/>
      <c r="L845" s="94"/>
      <c r="M845" s="94"/>
      <c r="N845" s="94"/>
      <c r="O845" s="94"/>
      <c r="P845" s="94"/>
      <c r="Q845" s="94"/>
      <c r="R845" s="94"/>
      <c r="S845" s="94"/>
      <c r="T845" s="94"/>
      <c r="U845" s="94"/>
      <c r="V845" s="94"/>
      <c r="W845" s="94"/>
      <c r="X845" s="94"/>
      <c r="Y845" s="38"/>
    </row>
    <row r="846" spans="1:25" ht="15.75" customHeight="1">
      <c r="A846" s="94"/>
      <c r="B846" s="94"/>
      <c r="C846" s="94"/>
      <c r="D846" s="94"/>
      <c r="E846" s="179"/>
      <c r="F846" s="94"/>
      <c r="G846" s="94"/>
      <c r="H846" s="94"/>
      <c r="I846" s="94"/>
      <c r="J846" s="94"/>
      <c r="K846" s="94"/>
      <c r="L846" s="94"/>
      <c r="M846" s="94"/>
      <c r="N846" s="94"/>
      <c r="O846" s="94"/>
      <c r="P846" s="94"/>
      <c r="Q846" s="94"/>
      <c r="R846" s="94"/>
      <c r="S846" s="94"/>
      <c r="T846" s="94"/>
      <c r="U846" s="94"/>
      <c r="V846" s="94"/>
      <c r="W846" s="94"/>
      <c r="X846" s="94"/>
      <c r="Y846" s="38"/>
    </row>
    <row r="847" spans="1:25" ht="15.75" customHeight="1">
      <c r="A847" s="94"/>
      <c r="B847" s="94"/>
      <c r="C847" s="94"/>
      <c r="D847" s="94"/>
      <c r="E847" s="179"/>
      <c r="F847" s="94"/>
      <c r="G847" s="94"/>
      <c r="H847" s="94"/>
      <c r="I847" s="94"/>
      <c r="J847" s="94"/>
      <c r="K847" s="94"/>
      <c r="L847" s="94"/>
      <c r="M847" s="94"/>
      <c r="N847" s="94"/>
      <c r="O847" s="94"/>
      <c r="P847" s="94"/>
      <c r="Q847" s="94"/>
      <c r="R847" s="94"/>
      <c r="S847" s="94"/>
      <c r="T847" s="94"/>
      <c r="U847" s="94"/>
      <c r="V847" s="94"/>
      <c r="W847" s="94"/>
      <c r="X847" s="94"/>
      <c r="Y847" s="38"/>
    </row>
    <row r="848" spans="1:25" ht="15.75" customHeight="1">
      <c r="A848" s="94"/>
      <c r="B848" s="94"/>
      <c r="C848" s="94"/>
      <c r="D848" s="94"/>
      <c r="E848" s="179"/>
      <c r="F848" s="94"/>
      <c r="G848" s="94"/>
      <c r="H848" s="94"/>
      <c r="I848" s="94"/>
      <c r="J848" s="94"/>
      <c r="K848" s="94"/>
      <c r="L848" s="94"/>
      <c r="M848" s="94"/>
      <c r="N848" s="94"/>
      <c r="O848" s="94"/>
      <c r="P848" s="94"/>
      <c r="Q848" s="94"/>
      <c r="R848" s="94"/>
      <c r="S848" s="94"/>
      <c r="T848" s="94"/>
      <c r="U848" s="94"/>
      <c r="V848" s="94"/>
      <c r="W848" s="94"/>
      <c r="X848" s="94"/>
      <c r="Y848" s="38"/>
    </row>
    <row r="849" spans="1:25" ht="15.75" customHeight="1">
      <c r="A849" s="94"/>
      <c r="B849" s="94"/>
      <c r="C849" s="94"/>
      <c r="D849" s="94"/>
      <c r="E849" s="179"/>
      <c r="F849" s="94"/>
      <c r="G849" s="94"/>
      <c r="H849" s="94"/>
      <c r="I849" s="94"/>
      <c r="J849" s="94"/>
      <c r="K849" s="94"/>
      <c r="L849" s="94"/>
      <c r="M849" s="94"/>
      <c r="N849" s="94"/>
      <c r="O849" s="94"/>
      <c r="P849" s="94"/>
      <c r="Q849" s="94"/>
      <c r="R849" s="94"/>
      <c r="S849" s="94"/>
      <c r="T849" s="94"/>
      <c r="U849" s="94"/>
      <c r="V849" s="94"/>
      <c r="W849" s="94"/>
      <c r="X849" s="94"/>
      <c r="Y849" s="38"/>
    </row>
    <row r="850" spans="1:25" ht="15.75" customHeight="1">
      <c r="A850" s="94"/>
      <c r="B850" s="94"/>
      <c r="C850" s="94"/>
      <c r="D850" s="94"/>
      <c r="E850" s="179"/>
      <c r="F850" s="94"/>
      <c r="G850" s="94"/>
      <c r="H850" s="94"/>
      <c r="I850" s="94"/>
      <c r="J850" s="94"/>
      <c r="K850" s="94"/>
      <c r="L850" s="94"/>
      <c r="M850" s="94"/>
      <c r="N850" s="94"/>
      <c r="O850" s="94"/>
      <c r="P850" s="94"/>
      <c r="Q850" s="94"/>
      <c r="R850" s="94"/>
      <c r="S850" s="94"/>
      <c r="T850" s="94"/>
      <c r="U850" s="94"/>
      <c r="V850" s="94"/>
      <c r="W850" s="94"/>
      <c r="X850" s="94"/>
      <c r="Y850" s="38"/>
    </row>
    <row r="851" spans="1:25" ht="15.75" customHeight="1">
      <c r="A851" s="94"/>
      <c r="B851" s="94"/>
      <c r="C851" s="94"/>
      <c r="D851" s="94"/>
      <c r="E851" s="179"/>
      <c r="F851" s="94"/>
      <c r="G851" s="94"/>
      <c r="H851" s="94"/>
      <c r="I851" s="94"/>
      <c r="J851" s="94"/>
      <c r="K851" s="94"/>
      <c r="L851" s="94"/>
      <c r="M851" s="94"/>
      <c r="N851" s="94"/>
      <c r="O851" s="94"/>
      <c r="P851" s="94"/>
      <c r="Q851" s="94"/>
      <c r="R851" s="94"/>
      <c r="S851" s="94"/>
      <c r="T851" s="94"/>
      <c r="U851" s="94"/>
      <c r="V851" s="94"/>
      <c r="W851" s="94"/>
      <c r="X851" s="94"/>
      <c r="Y851" s="38"/>
    </row>
    <row r="852" spans="1:25" ht="15.75" customHeight="1">
      <c r="A852" s="94"/>
      <c r="B852" s="94"/>
      <c r="C852" s="94"/>
      <c r="D852" s="94"/>
      <c r="E852" s="179"/>
      <c r="F852" s="94"/>
      <c r="G852" s="94"/>
      <c r="H852" s="94"/>
      <c r="I852" s="94"/>
      <c r="J852" s="94"/>
      <c r="K852" s="94"/>
      <c r="L852" s="94"/>
      <c r="M852" s="94"/>
      <c r="N852" s="94"/>
      <c r="O852" s="94"/>
      <c r="P852" s="94"/>
      <c r="Q852" s="94"/>
      <c r="R852" s="94"/>
      <c r="S852" s="94"/>
      <c r="T852" s="94"/>
      <c r="U852" s="94"/>
      <c r="V852" s="94"/>
      <c r="W852" s="94"/>
      <c r="X852" s="94"/>
      <c r="Y852" s="38"/>
    </row>
    <row r="853" spans="1:25" ht="15.75" customHeight="1">
      <c r="A853" s="94"/>
      <c r="B853" s="94"/>
      <c r="C853" s="94"/>
      <c r="D853" s="94"/>
      <c r="E853" s="179"/>
      <c r="F853" s="94"/>
      <c r="G853" s="94"/>
      <c r="H853" s="94"/>
      <c r="I853" s="94"/>
      <c r="J853" s="94"/>
      <c r="K853" s="94"/>
      <c r="L853" s="94"/>
      <c r="M853" s="94"/>
      <c r="N853" s="94"/>
      <c r="O853" s="94"/>
      <c r="P853" s="94"/>
      <c r="Q853" s="94"/>
      <c r="R853" s="94"/>
      <c r="S853" s="94"/>
      <c r="T853" s="94"/>
      <c r="U853" s="94"/>
      <c r="V853" s="94"/>
      <c r="W853" s="94"/>
      <c r="X853" s="94"/>
      <c r="Y853" s="38"/>
    </row>
    <row r="854" spans="1:25" ht="15.75" customHeight="1">
      <c r="A854" s="94"/>
      <c r="B854" s="94"/>
      <c r="C854" s="94"/>
      <c r="D854" s="94"/>
      <c r="E854" s="179"/>
      <c r="F854" s="94"/>
      <c r="G854" s="94"/>
      <c r="H854" s="94"/>
      <c r="I854" s="94"/>
      <c r="J854" s="94"/>
      <c r="K854" s="94"/>
      <c r="L854" s="94"/>
      <c r="M854" s="94"/>
      <c r="N854" s="94"/>
      <c r="O854" s="94"/>
      <c r="P854" s="94"/>
      <c r="Q854" s="94"/>
      <c r="R854" s="94"/>
      <c r="S854" s="94"/>
      <c r="T854" s="94"/>
      <c r="U854" s="94"/>
      <c r="V854" s="94"/>
      <c r="W854" s="94"/>
      <c r="X854" s="94"/>
      <c r="Y854" s="38"/>
    </row>
    <row r="855" spans="1:25" ht="15.75" customHeight="1">
      <c r="A855" s="94"/>
      <c r="B855" s="94"/>
      <c r="C855" s="94"/>
      <c r="D855" s="94"/>
      <c r="E855" s="179"/>
      <c r="F855" s="94"/>
      <c r="G855" s="94"/>
      <c r="H855" s="94"/>
      <c r="I855" s="94"/>
      <c r="J855" s="94"/>
      <c r="K855" s="94"/>
      <c r="L855" s="94"/>
      <c r="M855" s="94"/>
      <c r="N855" s="94"/>
      <c r="O855" s="94"/>
      <c r="P855" s="94"/>
      <c r="Q855" s="94"/>
      <c r="R855" s="94"/>
      <c r="S855" s="94"/>
      <c r="T855" s="94"/>
      <c r="U855" s="94"/>
      <c r="V855" s="94"/>
      <c r="W855" s="94"/>
      <c r="X855" s="94"/>
      <c r="Y855" s="38"/>
    </row>
    <row r="856" spans="1:25" ht="15.75" customHeight="1">
      <c r="A856" s="94"/>
      <c r="B856" s="94"/>
      <c r="C856" s="94"/>
      <c r="D856" s="94"/>
      <c r="E856" s="179"/>
      <c r="F856" s="94"/>
      <c r="G856" s="94"/>
      <c r="H856" s="94"/>
      <c r="I856" s="94"/>
      <c r="J856" s="94"/>
      <c r="K856" s="94"/>
      <c r="L856" s="94"/>
      <c r="M856" s="94"/>
      <c r="N856" s="94"/>
      <c r="O856" s="94"/>
      <c r="P856" s="94"/>
      <c r="Q856" s="94"/>
      <c r="R856" s="94"/>
      <c r="S856" s="94"/>
      <c r="T856" s="94"/>
      <c r="U856" s="94"/>
      <c r="V856" s="94"/>
      <c r="W856" s="94"/>
      <c r="X856" s="94"/>
      <c r="Y856" s="38"/>
    </row>
    <row r="857" spans="1:25" ht="15.75" customHeight="1">
      <c r="A857" s="94"/>
      <c r="B857" s="94"/>
      <c r="C857" s="94"/>
      <c r="D857" s="94"/>
      <c r="E857" s="179"/>
      <c r="F857" s="94"/>
      <c r="G857" s="94"/>
      <c r="H857" s="94"/>
      <c r="I857" s="94"/>
      <c r="J857" s="94"/>
      <c r="K857" s="94"/>
      <c r="L857" s="94"/>
      <c r="M857" s="94"/>
      <c r="N857" s="94"/>
      <c r="O857" s="94"/>
      <c r="P857" s="94"/>
      <c r="Q857" s="94"/>
      <c r="R857" s="94"/>
      <c r="S857" s="94"/>
      <c r="T857" s="94"/>
      <c r="U857" s="94"/>
      <c r="V857" s="94"/>
      <c r="W857" s="94"/>
      <c r="X857" s="94"/>
      <c r="Y857" s="38"/>
    </row>
    <row r="858" spans="1:25" ht="15.75" customHeight="1">
      <c r="A858" s="94"/>
      <c r="B858" s="94"/>
      <c r="C858" s="94"/>
      <c r="D858" s="94"/>
      <c r="E858" s="179"/>
      <c r="F858" s="94"/>
      <c r="G858" s="94"/>
      <c r="H858" s="94"/>
      <c r="I858" s="94"/>
      <c r="J858" s="94"/>
      <c r="K858" s="94"/>
      <c r="L858" s="94"/>
      <c r="M858" s="94"/>
      <c r="N858" s="94"/>
      <c r="O858" s="94"/>
      <c r="P858" s="94"/>
      <c r="Q858" s="94"/>
      <c r="R858" s="94"/>
      <c r="S858" s="94"/>
      <c r="T858" s="94"/>
      <c r="U858" s="94"/>
      <c r="V858" s="94"/>
      <c r="W858" s="94"/>
      <c r="X858" s="94"/>
      <c r="Y858" s="38"/>
    </row>
    <row r="859" spans="1:25" ht="15.75" customHeight="1">
      <c r="A859" s="94"/>
      <c r="B859" s="94"/>
      <c r="C859" s="94"/>
      <c r="D859" s="94"/>
      <c r="E859" s="179"/>
      <c r="F859" s="94"/>
      <c r="G859" s="94"/>
      <c r="H859" s="94"/>
      <c r="I859" s="94"/>
      <c r="J859" s="94"/>
      <c r="K859" s="94"/>
      <c r="L859" s="94"/>
      <c r="M859" s="94"/>
      <c r="N859" s="94"/>
      <c r="O859" s="94"/>
      <c r="P859" s="94"/>
      <c r="Q859" s="94"/>
      <c r="R859" s="94"/>
      <c r="S859" s="94"/>
      <c r="T859" s="94"/>
      <c r="U859" s="94"/>
      <c r="V859" s="94"/>
      <c r="W859" s="94"/>
      <c r="X859" s="94"/>
      <c r="Y859" s="38"/>
    </row>
    <row r="860" spans="1:25" ht="15.75" customHeight="1">
      <c r="A860" s="94"/>
      <c r="B860" s="94"/>
      <c r="C860" s="94"/>
      <c r="D860" s="94"/>
      <c r="E860" s="179"/>
      <c r="F860" s="94"/>
      <c r="G860" s="94"/>
      <c r="H860" s="94"/>
      <c r="I860" s="94"/>
      <c r="J860" s="94"/>
      <c r="K860" s="94"/>
      <c r="L860" s="94"/>
      <c r="M860" s="94"/>
      <c r="N860" s="94"/>
      <c r="O860" s="94"/>
      <c r="P860" s="94"/>
      <c r="Q860" s="94"/>
      <c r="R860" s="94"/>
      <c r="S860" s="94"/>
      <c r="T860" s="94"/>
      <c r="U860" s="94"/>
      <c r="V860" s="94"/>
      <c r="W860" s="94"/>
      <c r="X860" s="94"/>
      <c r="Y860" s="38"/>
    </row>
    <row r="861" spans="1:25" ht="15.75" customHeight="1">
      <c r="A861" s="94"/>
      <c r="B861" s="94"/>
      <c r="C861" s="94"/>
      <c r="D861" s="94"/>
      <c r="E861" s="179"/>
      <c r="F861" s="94"/>
      <c r="G861" s="94"/>
      <c r="H861" s="94"/>
      <c r="I861" s="94"/>
      <c r="J861" s="94"/>
      <c r="K861" s="94"/>
      <c r="L861" s="94"/>
      <c r="M861" s="94"/>
      <c r="N861" s="94"/>
      <c r="O861" s="94"/>
      <c r="P861" s="94"/>
      <c r="Q861" s="94"/>
      <c r="R861" s="94"/>
      <c r="S861" s="94"/>
      <c r="T861" s="94"/>
      <c r="U861" s="94"/>
      <c r="V861" s="94"/>
      <c r="W861" s="94"/>
      <c r="X861" s="94"/>
      <c r="Y861" s="38"/>
    </row>
    <row r="862" spans="1:25" ht="15.75" customHeight="1">
      <c r="A862" s="94"/>
      <c r="B862" s="94"/>
      <c r="C862" s="94"/>
      <c r="D862" s="94"/>
      <c r="E862" s="179"/>
      <c r="F862" s="94"/>
      <c r="G862" s="94"/>
      <c r="H862" s="94"/>
      <c r="I862" s="94"/>
      <c r="J862" s="94"/>
      <c r="K862" s="94"/>
      <c r="L862" s="94"/>
      <c r="M862" s="94"/>
      <c r="N862" s="94"/>
      <c r="O862" s="94"/>
      <c r="P862" s="94"/>
      <c r="Q862" s="94"/>
      <c r="R862" s="94"/>
      <c r="S862" s="94"/>
      <c r="T862" s="94"/>
      <c r="U862" s="94"/>
      <c r="V862" s="94"/>
      <c r="W862" s="94"/>
      <c r="X862" s="94"/>
      <c r="Y862" s="38"/>
    </row>
    <row r="863" spans="1:25" ht="15.75" customHeight="1">
      <c r="A863" s="94"/>
      <c r="B863" s="94"/>
      <c r="C863" s="94"/>
      <c r="D863" s="94"/>
      <c r="E863" s="179"/>
      <c r="F863" s="94"/>
      <c r="G863" s="94"/>
      <c r="H863" s="94"/>
      <c r="I863" s="94"/>
      <c r="J863" s="94"/>
      <c r="K863" s="94"/>
      <c r="L863" s="94"/>
      <c r="M863" s="94"/>
      <c r="N863" s="94"/>
      <c r="O863" s="94"/>
      <c r="P863" s="94"/>
      <c r="Q863" s="94"/>
      <c r="R863" s="94"/>
      <c r="S863" s="94"/>
      <c r="T863" s="94"/>
      <c r="U863" s="94"/>
      <c r="V863" s="94"/>
      <c r="W863" s="94"/>
      <c r="X863" s="94"/>
      <c r="Y863" s="38"/>
    </row>
    <row r="864" spans="1:25" ht="15.75" customHeight="1">
      <c r="A864" s="94"/>
      <c r="B864" s="94"/>
      <c r="C864" s="94"/>
      <c r="D864" s="94"/>
      <c r="E864" s="179"/>
      <c r="F864" s="94"/>
      <c r="G864" s="94"/>
      <c r="H864" s="94"/>
      <c r="I864" s="94"/>
      <c r="J864" s="94"/>
      <c r="K864" s="94"/>
      <c r="L864" s="94"/>
      <c r="M864" s="94"/>
      <c r="N864" s="94"/>
      <c r="O864" s="94"/>
      <c r="P864" s="94"/>
      <c r="Q864" s="94"/>
      <c r="R864" s="94"/>
      <c r="S864" s="94"/>
      <c r="T864" s="94"/>
      <c r="U864" s="94"/>
      <c r="V864" s="94"/>
      <c r="W864" s="94"/>
      <c r="X864" s="94"/>
      <c r="Y864" s="38"/>
    </row>
    <row r="865" spans="1:25" ht="15.75" customHeight="1">
      <c r="A865" s="94"/>
      <c r="B865" s="94"/>
      <c r="C865" s="94"/>
      <c r="D865" s="94"/>
      <c r="E865" s="179"/>
      <c r="F865" s="94"/>
      <c r="G865" s="94"/>
      <c r="H865" s="94"/>
      <c r="I865" s="94"/>
      <c r="J865" s="94"/>
      <c r="K865" s="94"/>
      <c r="L865" s="94"/>
      <c r="M865" s="94"/>
      <c r="N865" s="94"/>
      <c r="O865" s="94"/>
      <c r="P865" s="94"/>
      <c r="Q865" s="94"/>
      <c r="R865" s="94"/>
      <c r="S865" s="94"/>
      <c r="T865" s="94"/>
      <c r="U865" s="94"/>
      <c r="V865" s="94"/>
      <c r="W865" s="94"/>
      <c r="X865" s="94"/>
      <c r="Y865" s="38"/>
    </row>
    <row r="866" spans="1:25" ht="15.75" customHeight="1">
      <c r="A866" s="94"/>
      <c r="B866" s="94"/>
      <c r="C866" s="94"/>
      <c r="D866" s="94"/>
      <c r="E866" s="179"/>
      <c r="F866" s="94"/>
      <c r="G866" s="94"/>
      <c r="H866" s="94"/>
      <c r="I866" s="94"/>
      <c r="J866" s="94"/>
      <c r="K866" s="94"/>
      <c r="L866" s="94"/>
      <c r="M866" s="94"/>
      <c r="N866" s="94"/>
      <c r="O866" s="94"/>
      <c r="P866" s="94"/>
      <c r="Q866" s="94"/>
      <c r="R866" s="94"/>
      <c r="S866" s="94"/>
      <c r="T866" s="94"/>
      <c r="U866" s="94"/>
      <c r="V866" s="94"/>
      <c r="W866" s="94"/>
      <c r="X866" s="94"/>
      <c r="Y866" s="38"/>
    </row>
    <row r="867" spans="1:25" ht="15.75" customHeight="1">
      <c r="A867" s="94"/>
      <c r="B867" s="94"/>
      <c r="C867" s="94"/>
      <c r="D867" s="94"/>
      <c r="E867" s="179"/>
      <c r="F867" s="94"/>
      <c r="G867" s="94"/>
      <c r="H867" s="94"/>
      <c r="I867" s="94"/>
      <c r="J867" s="94"/>
      <c r="K867" s="94"/>
      <c r="L867" s="94"/>
      <c r="M867" s="94"/>
      <c r="N867" s="94"/>
      <c r="O867" s="94"/>
      <c r="P867" s="94"/>
      <c r="Q867" s="94"/>
      <c r="R867" s="94"/>
      <c r="S867" s="94"/>
      <c r="T867" s="94"/>
      <c r="U867" s="94"/>
      <c r="V867" s="94"/>
      <c r="W867" s="94"/>
      <c r="X867" s="94"/>
      <c r="Y867" s="38"/>
    </row>
    <row r="868" spans="1:25" ht="15.75" customHeight="1">
      <c r="A868" s="94"/>
      <c r="B868" s="94"/>
      <c r="C868" s="94"/>
      <c r="D868" s="94"/>
      <c r="E868" s="179"/>
      <c r="F868" s="94"/>
      <c r="G868" s="94"/>
      <c r="H868" s="94"/>
      <c r="I868" s="94"/>
      <c r="J868" s="94"/>
      <c r="K868" s="94"/>
      <c r="L868" s="94"/>
      <c r="M868" s="94"/>
      <c r="N868" s="94"/>
      <c r="O868" s="94"/>
      <c r="P868" s="94"/>
      <c r="Q868" s="94"/>
      <c r="R868" s="94"/>
      <c r="S868" s="94"/>
      <c r="T868" s="94"/>
      <c r="U868" s="94"/>
      <c r="V868" s="94"/>
      <c r="W868" s="94"/>
      <c r="X868" s="94"/>
      <c r="Y868" s="38"/>
    </row>
    <row r="869" spans="1:25" ht="15.75" customHeight="1">
      <c r="A869" s="94"/>
      <c r="B869" s="94"/>
      <c r="C869" s="94"/>
      <c r="D869" s="94"/>
      <c r="E869" s="179"/>
      <c r="F869" s="94"/>
      <c r="G869" s="94"/>
      <c r="H869" s="94"/>
      <c r="I869" s="94"/>
      <c r="J869" s="94"/>
      <c r="K869" s="94"/>
      <c r="L869" s="94"/>
      <c r="M869" s="94"/>
      <c r="N869" s="94"/>
      <c r="O869" s="94"/>
      <c r="P869" s="94"/>
      <c r="Q869" s="94"/>
      <c r="R869" s="94"/>
      <c r="S869" s="94"/>
      <c r="T869" s="94"/>
      <c r="U869" s="94"/>
      <c r="V869" s="94"/>
      <c r="W869" s="94"/>
      <c r="X869" s="94"/>
      <c r="Y869" s="38"/>
    </row>
    <row r="870" spans="1:25" ht="15.75" customHeight="1">
      <c r="A870" s="94"/>
      <c r="B870" s="94"/>
      <c r="C870" s="94"/>
      <c r="D870" s="94"/>
      <c r="E870" s="179"/>
      <c r="F870" s="94"/>
      <c r="G870" s="94"/>
      <c r="H870" s="94"/>
      <c r="I870" s="94"/>
      <c r="J870" s="94"/>
      <c r="K870" s="94"/>
      <c r="L870" s="94"/>
      <c r="M870" s="94"/>
      <c r="N870" s="94"/>
      <c r="O870" s="94"/>
      <c r="P870" s="94"/>
      <c r="Q870" s="94"/>
      <c r="R870" s="94"/>
      <c r="S870" s="94"/>
      <c r="T870" s="94"/>
      <c r="U870" s="94"/>
      <c r="V870" s="94"/>
      <c r="W870" s="94"/>
      <c r="X870" s="94"/>
      <c r="Y870" s="38"/>
    </row>
    <row r="871" spans="1:25" ht="15.75" customHeight="1">
      <c r="A871" s="94"/>
      <c r="B871" s="94"/>
      <c r="C871" s="94"/>
      <c r="D871" s="94"/>
      <c r="E871" s="179"/>
      <c r="F871" s="94"/>
      <c r="G871" s="94"/>
      <c r="H871" s="94"/>
      <c r="I871" s="94"/>
      <c r="J871" s="94"/>
      <c r="K871" s="94"/>
      <c r="L871" s="94"/>
      <c r="M871" s="94"/>
      <c r="N871" s="94"/>
      <c r="O871" s="94"/>
      <c r="P871" s="94"/>
      <c r="Q871" s="94"/>
      <c r="R871" s="94"/>
      <c r="S871" s="94"/>
      <c r="T871" s="94"/>
      <c r="U871" s="94"/>
      <c r="V871" s="94"/>
      <c r="W871" s="94"/>
      <c r="X871" s="94"/>
      <c r="Y871" s="38"/>
    </row>
    <row r="872" spans="1:25" ht="15.75" customHeight="1">
      <c r="A872" s="94"/>
      <c r="B872" s="94"/>
      <c r="C872" s="94"/>
      <c r="D872" s="94"/>
      <c r="E872" s="179"/>
      <c r="F872" s="94"/>
      <c r="G872" s="94"/>
      <c r="H872" s="94"/>
      <c r="I872" s="94"/>
      <c r="J872" s="94"/>
      <c r="K872" s="94"/>
      <c r="L872" s="94"/>
      <c r="M872" s="94"/>
      <c r="N872" s="94"/>
      <c r="O872" s="94"/>
      <c r="P872" s="94"/>
      <c r="Q872" s="94"/>
      <c r="R872" s="94"/>
      <c r="S872" s="94"/>
      <c r="T872" s="94"/>
      <c r="U872" s="94"/>
      <c r="V872" s="94"/>
      <c r="W872" s="94"/>
      <c r="X872" s="94"/>
      <c r="Y872" s="38"/>
    </row>
    <row r="873" spans="1:25" ht="15.75" customHeight="1">
      <c r="A873" s="94"/>
      <c r="B873" s="94"/>
      <c r="C873" s="94"/>
      <c r="D873" s="94"/>
      <c r="E873" s="179"/>
      <c r="F873" s="94"/>
      <c r="G873" s="94"/>
      <c r="H873" s="94"/>
      <c r="I873" s="94"/>
      <c r="J873" s="94"/>
      <c r="K873" s="94"/>
      <c r="L873" s="94"/>
      <c r="M873" s="94"/>
      <c r="N873" s="94"/>
      <c r="O873" s="94"/>
      <c r="P873" s="94"/>
      <c r="Q873" s="94"/>
      <c r="R873" s="94"/>
      <c r="S873" s="94"/>
      <c r="T873" s="94"/>
      <c r="U873" s="94"/>
      <c r="V873" s="94"/>
      <c r="W873" s="94"/>
      <c r="X873" s="94"/>
      <c r="Y873" s="38"/>
    </row>
    <row r="874" spans="1:25" ht="15.75" customHeight="1">
      <c r="A874" s="94"/>
      <c r="B874" s="94"/>
      <c r="C874" s="94"/>
      <c r="D874" s="94"/>
      <c r="E874" s="179"/>
      <c r="F874" s="94"/>
      <c r="G874" s="94"/>
      <c r="H874" s="94"/>
      <c r="I874" s="94"/>
      <c r="J874" s="94"/>
      <c r="K874" s="94"/>
      <c r="L874" s="94"/>
      <c r="M874" s="94"/>
      <c r="N874" s="94"/>
      <c r="O874" s="94"/>
      <c r="P874" s="94"/>
      <c r="Q874" s="94"/>
      <c r="R874" s="94"/>
      <c r="S874" s="94"/>
      <c r="T874" s="94"/>
      <c r="U874" s="94"/>
      <c r="V874" s="94"/>
      <c r="W874" s="94"/>
      <c r="X874" s="94"/>
      <c r="Y874" s="38"/>
    </row>
    <row r="875" spans="1:25" ht="15.75" customHeight="1">
      <c r="A875" s="94"/>
      <c r="B875" s="94"/>
      <c r="C875" s="94"/>
      <c r="D875" s="94"/>
      <c r="E875" s="179"/>
      <c r="F875" s="94"/>
      <c r="G875" s="94"/>
      <c r="H875" s="94"/>
      <c r="I875" s="94"/>
      <c r="J875" s="94"/>
      <c r="K875" s="94"/>
      <c r="L875" s="94"/>
      <c r="M875" s="94"/>
      <c r="N875" s="94"/>
      <c r="O875" s="94"/>
      <c r="P875" s="94"/>
      <c r="Q875" s="94"/>
      <c r="R875" s="94"/>
      <c r="S875" s="94"/>
      <c r="T875" s="94"/>
      <c r="U875" s="94"/>
      <c r="V875" s="94"/>
      <c r="W875" s="94"/>
      <c r="X875" s="94"/>
      <c r="Y875" s="38"/>
    </row>
    <row r="876" spans="1:25" ht="15.75" customHeight="1">
      <c r="A876" s="94"/>
      <c r="B876" s="94"/>
      <c r="C876" s="94"/>
      <c r="D876" s="94"/>
      <c r="E876" s="179"/>
      <c r="F876" s="94"/>
      <c r="G876" s="94"/>
      <c r="H876" s="94"/>
      <c r="I876" s="94"/>
      <c r="J876" s="94"/>
      <c r="K876" s="94"/>
      <c r="L876" s="94"/>
      <c r="M876" s="94"/>
      <c r="N876" s="94"/>
      <c r="O876" s="94"/>
      <c r="P876" s="94"/>
      <c r="Q876" s="94"/>
      <c r="R876" s="94"/>
      <c r="S876" s="94"/>
      <c r="T876" s="94"/>
      <c r="U876" s="94"/>
      <c r="V876" s="94"/>
      <c r="W876" s="94"/>
      <c r="X876" s="94"/>
      <c r="Y876" s="38"/>
    </row>
    <row r="877" spans="1:25" ht="15.75" customHeight="1">
      <c r="A877" s="94"/>
      <c r="B877" s="94"/>
      <c r="C877" s="94"/>
      <c r="D877" s="94"/>
      <c r="E877" s="179"/>
      <c r="F877" s="94"/>
      <c r="G877" s="94"/>
      <c r="H877" s="94"/>
      <c r="I877" s="94"/>
      <c r="J877" s="94"/>
      <c r="K877" s="94"/>
      <c r="L877" s="94"/>
      <c r="M877" s="94"/>
      <c r="N877" s="94"/>
      <c r="O877" s="94"/>
      <c r="P877" s="94"/>
      <c r="Q877" s="94"/>
      <c r="R877" s="94"/>
      <c r="S877" s="94"/>
      <c r="T877" s="94"/>
      <c r="U877" s="94"/>
      <c r="V877" s="94"/>
      <c r="W877" s="94"/>
      <c r="X877" s="94"/>
      <c r="Y877" s="38"/>
    </row>
    <row r="878" spans="1:25" ht="15.75" customHeight="1">
      <c r="A878" s="94"/>
      <c r="B878" s="94"/>
      <c r="C878" s="94"/>
      <c r="D878" s="94"/>
      <c r="E878" s="179"/>
      <c r="F878" s="94"/>
      <c r="G878" s="94"/>
      <c r="H878" s="94"/>
      <c r="I878" s="94"/>
      <c r="J878" s="94"/>
      <c r="K878" s="94"/>
      <c r="L878" s="94"/>
      <c r="M878" s="94"/>
      <c r="N878" s="94"/>
      <c r="O878" s="94"/>
      <c r="P878" s="94"/>
      <c r="Q878" s="94"/>
      <c r="R878" s="94"/>
      <c r="S878" s="94"/>
      <c r="T878" s="94"/>
      <c r="U878" s="94"/>
      <c r="V878" s="94"/>
      <c r="W878" s="94"/>
      <c r="X878" s="94"/>
      <c r="Y878" s="38"/>
    </row>
    <row r="879" spans="1:25" ht="15.75" customHeight="1">
      <c r="A879" s="94"/>
      <c r="B879" s="94"/>
      <c r="C879" s="94"/>
      <c r="D879" s="94"/>
      <c r="E879" s="179"/>
      <c r="F879" s="94"/>
      <c r="G879" s="94"/>
      <c r="H879" s="94"/>
      <c r="I879" s="94"/>
      <c r="J879" s="94"/>
      <c r="K879" s="94"/>
      <c r="L879" s="94"/>
      <c r="M879" s="94"/>
      <c r="N879" s="94"/>
      <c r="O879" s="94"/>
      <c r="P879" s="94"/>
      <c r="Q879" s="94"/>
      <c r="R879" s="94"/>
      <c r="S879" s="94"/>
      <c r="T879" s="94"/>
      <c r="U879" s="94"/>
      <c r="V879" s="94"/>
      <c r="W879" s="94"/>
      <c r="X879" s="94"/>
      <c r="Y879" s="38"/>
    </row>
    <row r="880" spans="1:25" ht="15.75" customHeight="1">
      <c r="A880" s="94"/>
      <c r="B880" s="94"/>
      <c r="C880" s="94"/>
      <c r="D880" s="94"/>
      <c r="E880" s="179"/>
      <c r="F880" s="94"/>
      <c r="G880" s="94"/>
      <c r="H880" s="94"/>
      <c r="I880" s="94"/>
      <c r="J880" s="94"/>
      <c r="K880" s="94"/>
      <c r="L880" s="94"/>
      <c r="M880" s="94"/>
      <c r="N880" s="94"/>
      <c r="O880" s="94"/>
      <c r="P880" s="94"/>
      <c r="Q880" s="94"/>
      <c r="R880" s="94"/>
      <c r="S880" s="94"/>
      <c r="T880" s="94"/>
      <c r="U880" s="94"/>
      <c r="V880" s="94"/>
      <c r="W880" s="94"/>
      <c r="X880" s="94"/>
      <c r="Y880" s="38"/>
    </row>
    <row r="881" spans="1:25" ht="15.75" customHeight="1">
      <c r="A881" s="94"/>
      <c r="B881" s="94"/>
      <c r="C881" s="94"/>
      <c r="D881" s="94"/>
      <c r="E881" s="179"/>
      <c r="F881" s="94"/>
      <c r="G881" s="94"/>
      <c r="H881" s="94"/>
      <c r="I881" s="94"/>
      <c r="J881" s="94"/>
      <c r="K881" s="94"/>
      <c r="L881" s="94"/>
      <c r="M881" s="94"/>
      <c r="N881" s="94"/>
      <c r="O881" s="94"/>
      <c r="P881" s="94"/>
      <c r="Q881" s="94"/>
      <c r="R881" s="94"/>
      <c r="S881" s="94"/>
      <c r="T881" s="94"/>
      <c r="U881" s="94"/>
      <c r="V881" s="94"/>
      <c r="W881" s="94"/>
      <c r="X881" s="94"/>
      <c r="Y881" s="38"/>
    </row>
    <row r="882" spans="1:25" ht="15.75" customHeight="1">
      <c r="A882" s="94"/>
      <c r="B882" s="94"/>
      <c r="C882" s="94"/>
      <c r="D882" s="94"/>
      <c r="E882" s="179"/>
      <c r="F882" s="94"/>
      <c r="G882" s="94"/>
      <c r="H882" s="94"/>
      <c r="I882" s="94"/>
      <c r="J882" s="94"/>
      <c r="K882" s="94"/>
      <c r="L882" s="94"/>
      <c r="M882" s="94"/>
      <c r="N882" s="94"/>
      <c r="O882" s="94"/>
      <c r="P882" s="94"/>
      <c r="Q882" s="94"/>
      <c r="R882" s="94"/>
      <c r="S882" s="94"/>
      <c r="T882" s="94"/>
      <c r="U882" s="94"/>
      <c r="V882" s="94"/>
      <c r="W882" s="94"/>
      <c r="X882" s="94"/>
      <c r="Y882" s="38"/>
    </row>
    <row r="883" spans="1:25" ht="15.75" customHeight="1">
      <c r="A883" s="94"/>
      <c r="B883" s="94"/>
      <c r="C883" s="94"/>
      <c r="D883" s="94"/>
      <c r="E883" s="179"/>
      <c r="F883" s="94"/>
      <c r="G883" s="94"/>
      <c r="H883" s="94"/>
      <c r="I883" s="94"/>
      <c r="J883" s="94"/>
      <c r="K883" s="94"/>
      <c r="L883" s="94"/>
      <c r="M883" s="94"/>
      <c r="N883" s="94"/>
      <c r="O883" s="94"/>
      <c r="P883" s="94"/>
      <c r="Q883" s="94"/>
      <c r="R883" s="94"/>
      <c r="S883" s="94"/>
      <c r="T883" s="94"/>
      <c r="U883" s="94"/>
      <c r="V883" s="94"/>
      <c r="W883" s="94"/>
      <c r="X883" s="94"/>
      <c r="Y883" s="38"/>
    </row>
    <row r="884" spans="1:25" ht="15.75" customHeight="1">
      <c r="A884" s="94"/>
      <c r="B884" s="94"/>
      <c r="C884" s="94"/>
      <c r="D884" s="94"/>
      <c r="E884" s="179"/>
      <c r="F884" s="94"/>
      <c r="G884" s="94"/>
      <c r="H884" s="94"/>
      <c r="I884" s="94"/>
      <c r="J884" s="94"/>
      <c r="K884" s="94"/>
      <c r="L884" s="94"/>
      <c r="M884" s="94"/>
      <c r="N884" s="94"/>
      <c r="O884" s="94"/>
      <c r="P884" s="94"/>
      <c r="Q884" s="94"/>
      <c r="R884" s="94"/>
      <c r="S884" s="94"/>
      <c r="T884" s="94"/>
      <c r="U884" s="94"/>
      <c r="V884" s="94"/>
      <c r="W884" s="94"/>
      <c r="X884" s="94"/>
      <c r="Y884" s="38"/>
    </row>
    <row r="885" spans="1:25" ht="15.75" customHeight="1">
      <c r="A885" s="94"/>
      <c r="B885" s="94"/>
      <c r="C885" s="94"/>
      <c r="D885" s="94"/>
      <c r="E885" s="179"/>
      <c r="F885" s="94"/>
      <c r="G885" s="94"/>
      <c r="H885" s="94"/>
      <c r="I885" s="94"/>
      <c r="J885" s="94"/>
      <c r="K885" s="94"/>
      <c r="L885" s="94"/>
      <c r="M885" s="94"/>
      <c r="N885" s="94"/>
      <c r="O885" s="94"/>
      <c r="P885" s="94"/>
      <c r="Q885" s="94"/>
      <c r="R885" s="94"/>
      <c r="S885" s="94"/>
      <c r="T885" s="94"/>
      <c r="U885" s="94"/>
      <c r="V885" s="94"/>
      <c r="W885" s="94"/>
      <c r="X885" s="94"/>
      <c r="Y885" s="38"/>
    </row>
    <row r="886" spans="1:25" ht="15.75" customHeight="1">
      <c r="A886" s="94"/>
      <c r="B886" s="94"/>
      <c r="C886" s="94"/>
      <c r="D886" s="94"/>
      <c r="E886" s="179"/>
      <c r="F886" s="94"/>
      <c r="G886" s="94"/>
      <c r="H886" s="94"/>
      <c r="I886" s="94"/>
      <c r="J886" s="94"/>
      <c r="K886" s="94"/>
      <c r="L886" s="94"/>
      <c r="M886" s="94"/>
      <c r="N886" s="94"/>
      <c r="O886" s="94"/>
      <c r="P886" s="94"/>
      <c r="Q886" s="94"/>
      <c r="R886" s="94"/>
      <c r="S886" s="94"/>
      <c r="T886" s="94"/>
      <c r="U886" s="94"/>
      <c r="V886" s="94"/>
      <c r="W886" s="94"/>
      <c r="X886" s="94"/>
      <c r="Y886" s="38"/>
    </row>
    <row r="887" spans="1:25" ht="15.75" customHeight="1">
      <c r="A887" s="94"/>
      <c r="B887" s="94"/>
      <c r="C887" s="94"/>
      <c r="D887" s="94"/>
      <c r="E887" s="179"/>
      <c r="F887" s="94"/>
      <c r="G887" s="94"/>
      <c r="H887" s="94"/>
      <c r="I887" s="94"/>
      <c r="J887" s="94"/>
      <c r="K887" s="94"/>
      <c r="L887" s="94"/>
      <c r="M887" s="94"/>
      <c r="N887" s="94"/>
      <c r="O887" s="94"/>
      <c r="P887" s="94"/>
      <c r="Q887" s="94"/>
      <c r="R887" s="94"/>
      <c r="S887" s="94"/>
      <c r="T887" s="94"/>
      <c r="U887" s="94"/>
      <c r="V887" s="94"/>
      <c r="W887" s="94"/>
      <c r="X887" s="94"/>
      <c r="Y887" s="38"/>
    </row>
    <row r="888" spans="1:25" ht="15.75" customHeight="1">
      <c r="A888" s="94"/>
      <c r="B888" s="94"/>
      <c r="C888" s="94"/>
      <c r="D888" s="94"/>
      <c r="E888" s="179"/>
      <c r="F888" s="94"/>
      <c r="G888" s="94"/>
      <c r="H888" s="94"/>
      <c r="I888" s="94"/>
      <c r="J888" s="94"/>
      <c r="K888" s="94"/>
      <c r="L888" s="94"/>
      <c r="M888" s="94"/>
      <c r="N888" s="94"/>
      <c r="O888" s="94"/>
      <c r="P888" s="94"/>
      <c r="Q888" s="94"/>
      <c r="R888" s="94"/>
      <c r="S888" s="94"/>
      <c r="T888" s="94"/>
      <c r="U888" s="94"/>
      <c r="V888" s="94"/>
      <c r="W888" s="94"/>
      <c r="X888" s="94"/>
      <c r="Y888" s="38"/>
    </row>
    <row r="889" spans="1:25" ht="15.75" customHeight="1">
      <c r="A889" s="94"/>
      <c r="B889" s="94"/>
      <c r="C889" s="94"/>
      <c r="D889" s="94"/>
      <c r="E889" s="179"/>
      <c r="F889" s="94"/>
      <c r="G889" s="94"/>
      <c r="H889" s="94"/>
      <c r="I889" s="94"/>
      <c r="J889" s="94"/>
      <c r="K889" s="94"/>
      <c r="L889" s="94"/>
      <c r="M889" s="94"/>
      <c r="N889" s="94"/>
      <c r="O889" s="94"/>
      <c r="P889" s="94"/>
      <c r="Q889" s="94"/>
      <c r="R889" s="94"/>
      <c r="S889" s="94"/>
      <c r="T889" s="94"/>
      <c r="U889" s="94"/>
      <c r="V889" s="94"/>
      <c r="W889" s="94"/>
      <c r="X889" s="94"/>
      <c r="Y889" s="38"/>
    </row>
    <row r="890" spans="1:25" ht="15.75" customHeight="1">
      <c r="A890" s="94"/>
      <c r="B890" s="94"/>
      <c r="C890" s="94"/>
      <c r="D890" s="94"/>
      <c r="E890" s="179"/>
      <c r="F890" s="94"/>
      <c r="G890" s="94"/>
      <c r="H890" s="94"/>
      <c r="I890" s="94"/>
      <c r="J890" s="94"/>
      <c r="K890" s="94"/>
      <c r="L890" s="94"/>
      <c r="M890" s="94"/>
      <c r="N890" s="94"/>
      <c r="O890" s="94"/>
      <c r="P890" s="94"/>
      <c r="Q890" s="94"/>
      <c r="R890" s="94"/>
      <c r="S890" s="94"/>
      <c r="T890" s="94"/>
      <c r="U890" s="94"/>
      <c r="V890" s="94"/>
      <c r="W890" s="94"/>
      <c r="X890" s="94"/>
      <c r="Y890" s="38"/>
    </row>
    <row r="891" spans="1:25" ht="15.75" customHeight="1">
      <c r="A891" s="94"/>
      <c r="B891" s="94"/>
      <c r="C891" s="94"/>
      <c r="D891" s="94"/>
      <c r="E891" s="179"/>
      <c r="F891" s="94"/>
      <c r="G891" s="94"/>
      <c r="H891" s="94"/>
      <c r="I891" s="94"/>
      <c r="J891" s="94"/>
      <c r="K891" s="94"/>
      <c r="L891" s="94"/>
      <c r="M891" s="94"/>
      <c r="N891" s="94"/>
      <c r="O891" s="94"/>
      <c r="P891" s="94"/>
      <c r="Q891" s="94"/>
      <c r="R891" s="94"/>
      <c r="S891" s="94"/>
      <c r="T891" s="94"/>
      <c r="U891" s="94"/>
      <c r="V891" s="94"/>
      <c r="W891" s="94"/>
      <c r="X891" s="94"/>
      <c r="Y891" s="38"/>
    </row>
    <row r="892" spans="1:25" ht="15.75" customHeight="1">
      <c r="A892" s="94"/>
      <c r="B892" s="94"/>
      <c r="C892" s="94"/>
      <c r="D892" s="94"/>
      <c r="E892" s="179"/>
      <c r="F892" s="94"/>
      <c r="G892" s="94"/>
      <c r="H892" s="94"/>
      <c r="I892" s="94"/>
      <c r="J892" s="94"/>
      <c r="K892" s="94"/>
      <c r="L892" s="94"/>
      <c r="M892" s="94"/>
      <c r="N892" s="94"/>
      <c r="O892" s="94"/>
      <c r="P892" s="94"/>
      <c r="Q892" s="94"/>
      <c r="R892" s="94"/>
      <c r="S892" s="94"/>
      <c r="T892" s="94"/>
      <c r="U892" s="94"/>
      <c r="V892" s="94"/>
      <c r="W892" s="94"/>
      <c r="X892" s="94"/>
      <c r="Y892" s="38"/>
    </row>
    <row r="893" spans="1:25" ht="15.75" customHeight="1">
      <c r="A893" s="94"/>
      <c r="B893" s="94"/>
      <c r="C893" s="94"/>
      <c r="D893" s="94"/>
      <c r="E893" s="179"/>
      <c r="F893" s="94"/>
      <c r="G893" s="94"/>
      <c r="H893" s="94"/>
      <c r="I893" s="94"/>
      <c r="J893" s="94"/>
      <c r="K893" s="94"/>
      <c r="L893" s="94"/>
      <c r="M893" s="94"/>
      <c r="N893" s="94"/>
      <c r="O893" s="94"/>
      <c r="P893" s="94"/>
      <c r="Q893" s="94"/>
      <c r="R893" s="94"/>
      <c r="S893" s="94"/>
      <c r="T893" s="94"/>
      <c r="U893" s="94"/>
      <c r="V893" s="94"/>
      <c r="W893" s="94"/>
      <c r="X893" s="94"/>
      <c r="Y893" s="38"/>
    </row>
    <row r="894" spans="1:25" ht="15.75" customHeight="1">
      <c r="A894" s="94"/>
      <c r="B894" s="94"/>
      <c r="C894" s="94"/>
      <c r="D894" s="94"/>
      <c r="E894" s="179"/>
      <c r="F894" s="94"/>
      <c r="G894" s="94"/>
      <c r="H894" s="94"/>
      <c r="I894" s="94"/>
      <c r="J894" s="94"/>
      <c r="K894" s="94"/>
      <c r="L894" s="94"/>
      <c r="M894" s="94"/>
      <c r="N894" s="94"/>
      <c r="O894" s="94"/>
      <c r="P894" s="94"/>
      <c r="Q894" s="94"/>
      <c r="R894" s="94"/>
      <c r="S894" s="94"/>
      <c r="T894" s="94"/>
      <c r="U894" s="94"/>
      <c r="V894" s="94"/>
      <c r="W894" s="94"/>
      <c r="X894" s="94"/>
      <c r="Y894" s="38"/>
    </row>
    <row r="895" spans="1:25" ht="15.75" customHeight="1">
      <c r="A895" s="94"/>
      <c r="B895" s="94"/>
      <c r="C895" s="94"/>
      <c r="D895" s="94"/>
      <c r="E895" s="179"/>
      <c r="F895" s="94"/>
      <c r="G895" s="94"/>
      <c r="H895" s="94"/>
      <c r="I895" s="94"/>
      <c r="J895" s="94"/>
      <c r="K895" s="94"/>
      <c r="L895" s="94"/>
      <c r="M895" s="94"/>
      <c r="N895" s="94"/>
      <c r="O895" s="94"/>
      <c r="P895" s="94"/>
      <c r="Q895" s="94"/>
      <c r="R895" s="94"/>
      <c r="S895" s="94"/>
      <c r="T895" s="94"/>
      <c r="U895" s="94"/>
      <c r="V895" s="94"/>
      <c r="W895" s="94"/>
      <c r="X895" s="94"/>
      <c r="Y895" s="38"/>
    </row>
    <row r="896" spans="1:25" ht="15.75" customHeight="1">
      <c r="A896" s="94"/>
      <c r="B896" s="94"/>
      <c r="C896" s="94"/>
      <c r="D896" s="94"/>
      <c r="E896" s="179"/>
      <c r="F896" s="94"/>
      <c r="G896" s="94"/>
      <c r="H896" s="94"/>
      <c r="I896" s="94"/>
      <c r="J896" s="94"/>
      <c r="K896" s="94"/>
      <c r="L896" s="94"/>
      <c r="M896" s="94"/>
      <c r="N896" s="94"/>
      <c r="O896" s="94"/>
      <c r="P896" s="94"/>
      <c r="Q896" s="94"/>
      <c r="R896" s="94"/>
      <c r="S896" s="94"/>
      <c r="T896" s="94"/>
      <c r="U896" s="94"/>
      <c r="V896" s="94"/>
      <c r="W896" s="94"/>
      <c r="X896" s="94"/>
      <c r="Y896" s="38"/>
    </row>
    <row r="897" spans="1:25" ht="15.75" customHeight="1">
      <c r="A897" s="94"/>
      <c r="B897" s="94"/>
      <c r="C897" s="94"/>
      <c r="D897" s="94"/>
      <c r="E897" s="179"/>
      <c r="F897" s="94"/>
      <c r="G897" s="94"/>
      <c r="H897" s="94"/>
      <c r="I897" s="94"/>
      <c r="J897" s="94"/>
      <c r="K897" s="94"/>
      <c r="L897" s="94"/>
      <c r="M897" s="94"/>
      <c r="N897" s="94"/>
      <c r="O897" s="94"/>
      <c r="P897" s="94"/>
      <c r="Q897" s="94"/>
      <c r="R897" s="94"/>
      <c r="S897" s="94"/>
      <c r="T897" s="94"/>
      <c r="U897" s="94"/>
      <c r="V897" s="94"/>
      <c r="W897" s="94"/>
      <c r="X897" s="94"/>
      <c r="Y897" s="38"/>
    </row>
    <row r="898" spans="1:25" ht="15.75" customHeight="1">
      <c r="A898" s="94"/>
      <c r="B898" s="94"/>
      <c r="C898" s="94"/>
      <c r="D898" s="94"/>
      <c r="E898" s="179"/>
      <c r="F898" s="94"/>
      <c r="G898" s="94"/>
      <c r="H898" s="94"/>
      <c r="I898" s="94"/>
      <c r="J898" s="94"/>
      <c r="K898" s="94"/>
      <c r="L898" s="94"/>
      <c r="M898" s="94"/>
      <c r="N898" s="94"/>
      <c r="O898" s="94"/>
      <c r="P898" s="94"/>
      <c r="Q898" s="94"/>
      <c r="R898" s="94"/>
      <c r="S898" s="94"/>
      <c r="T898" s="94"/>
      <c r="U898" s="94"/>
      <c r="V898" s="94"/>
      <c r="W898" s="94"/>
      <c r="X898" s="94"/>
      <c r="Y898" s="38"/>
    </row>
    <row r="899" spans="1:25" ht="15.75" customHeight="1">
      <c r="A899" s="94"/>
      <c r="B899" s="94"/>
      <c r="C899" s="94"/>
      <c r="D899" s="94"/>
      <c r="E899" s="179"/>
      <c r="F899" s="94"/>
      <c r="G899" s="94"/>
      <c r="H899" s="94"/>
      <c r="I899" s="94"/>
      <c r="J899" s="94"/>
      <c r="K899" s="94"/>
      <c r="L899" s="94"/>
      <c r="M899" s="94"/>
      <c r="N899" s="94"/>
      <c r="O899" s="94"/>
      <c r="P899" s="94"/>
      <c r="Q899" s="94"/>
      <c r="R899" s="94"/>
      <c r="S899" s="94"/>
      <c r="T899" s="94"/>
      <c r="U899" s="94"/>
      <c r="V899" s="94"/>
      <c r="W899" s="94"/>
      <c r="X899" s="94"/>
      <c r="Y899" s="38"/>
    </row>
    <row r="900" spans="1:25" ht="15.75" customHeight="1">
      <c r="A900" s="94"/>
      <c r="B900" s="94"/>
      <c r="C900" s="94"/>
      <c r="D900" s="94"/>
      <c r="E900" s="179"/>
      <c r="F900" s="94"/>
      <c r="G900" s="94"/>
      <c r="H900" s="94"/>
      <c r="I900" s="94"/>
      <c r="J900" s="94"/>
      <c r="K900" s="94"/>
      <c r="L900" s="94"/>
      <c r="M900" s="94"/>
      <c r="N900" s="94"/>
      <c r="O900" s="94"/>
      <c r="P900" s="94"/>
      <c r="Q900" s="94"/>
      <c r="R900" s="94"/>
      <c r="S900" s="94"/>
      <c r="T900" s="94"/>
      <c r="U900" s="94"/>
      <c r="V900" s="94"/>
      <c r="W900" s="94"/>
      <c r="X900" s="94"/>
      <c r="Y900" s="38"/>
    </row>
    <row r="901" spans="1:25" ht="15.75" customHeight="1">
      <c r="A901" s="94"/>
      <c r="B901" s="94"/>
      <c r="C901" s="94"/>
      <c r="D901" s="94"/>
      <c r="E901" s="179"/>
      <c r="F901" s="94"/>
      <c r="G901" s="94"/>
      <c r="H901" s="94"/>
      <c r="I901" s="94"/>
      <c r="J901" s="94"/>
      <c r="K901" s="94"/>
      <c r="L901" s="94"/>
      <c r="M901" s="94"/>
      <c r="N901" s="94"/>
      <c r="O901" s="94"/>
      <c r="P901" s="94"/>
      <c r="Q901" s="94"/>
      <c r="R901" s="94"/>
      <c r="S901" s="94"/>
      <c r="T901" s="94"/>
      <c r="U901" s="94"/>
      <c r="V901" s="94"/>
      <c r="W901" s="94"/>
      <c r="X901" s="94"/>
      <c r="Y901" s="38"/>
    </row>
    <row r="902" spans="1:25" ht="15.75" customHeight="1">
      <c r="A902" s="94"/>
      <c r="B902" s="94"/>
      <c r="C902" s="94"/>
      <c r="D902" s="94"/>
      <c r="E902" s="179"/>
      <c r="F902" s="94"/>
      <c r="G902" s="94"/>
      <c r="H902" s="94"/>
      <c r="I902" s="94"/>
      <c r="J902" s="94"/>
      <c r="K902" s="94"/>
      <c r="L902" s="94"/>
      <c r="M902" s="94"/>
      <c r="N902" s="94"/>
      <c r="O902" s="94"/>
      <c r="P902" s="94"/>
      <c r="Q902" s="94"/>
      <c r="R902" s="94"/>
      <c r="S902" s="94"/>
      <c r="T902" s="94"/>
      <c r="U902" s="94"/>
      <c r="V902" s="94"/>
      <c r="W902" s="94"/>
      <c r="X902" s="94"/>
      <c r="Y902" s="38"/>
    </row>
    <row r="903" spans="1:25" ht="15.75" customHeight="1">
      <c r="A903" s="94"/>
      <c r="B903" s="94"/>
      <c r="C903" s="94"/>
      <c r="D903" s="94"/>
      <c r="E903" s="179"/>
      <c r="F903" s="94"/>
      <c r="G903" s="94"/>
      <c r="H903" s="94"/>
      <c r="I903" s="94"/>
      <c r="J903" s="94"/>
      <c r="K903" s="94"/>
      <c r="L903" s="94"/>
      <c r="M903" s="94"/>
      <c r="N903" s="94"/>
      <c r="O903" s="94"/>
      <c r="P903" s="94"/>
      <c r="Q903" s="94"/>
      <c r="R903" s="94"/>
      <c r="S903" s="94"/>
      <c r="T903" s="94"/>
      <c r="U903" s="94"/>
      <c r="V903" s="94"/>
      <c r="W903" s="94"/>
      <c r="X903" s="94"/>
      <c r="Y903" s="38"/>
    </row>
    <row r="904" spans="1:25" ht="15.75" customHeight="1">
      <c r="A904" s="94"/>
      <c r="B904" s="94"/>
      <c r="C904" s="94"/>
      <c r="D904" s="94"/>
      <c r="E904" s="179"/>
      <c r="F904" s="94"/>
      <c r="G904" s="94"/>
      <c r="H904" s="94"/>
      <c r="I904" s="94"/>
      <c r="J904" s="94"/>
      <c r="K904" s="94"/>
      <c r="L904" s="94"/>
      <c r="M904" s="94"/>
      <c r="N904" s="94"/>
      <c r="O904" s="94"/>
      <c r="P904" s="94"/>
      <c r="Q904" s="94"/>
      <c r="R904" s="94"/>
      <c r="S904" s="94"/>
      <c r="T904" s="94"/>
      <c r="U904" s="94"/>
      <c r="V904" s="94"/>
      <c r="W904" s="94"/>
      <c r="X904" s="94"/>
      <c r="Y904" s="38"/>
    </row>
    <row r="905" spans="1:25" ht="15.75" customHeight="1">
      <c r="A905" s="94"/>
      <c r="B905" s="94"/>
      <c r="C905" s="94"/>
      <c r="D905" s="94"/>
      <c r="E905" s="179"/>
      <c r="F905" s="94"/>
      <c r="G905" s="94"/>
      <c r="H905" s="94"/>
      <c r="I905" s="94"/>
      <c r="J905" s="94"/>
      <c r="K905" s="94"/>
      <c r="L905" s="94"/>
      <c r="M905" s="94"/>
      <c r="N905" s="94"/>
      <c r="O905" s="94"/>
      <c r="P905" s="94"/>
      <c r="Q905" s="94"/>
      <c r="R905" s="94"/>
      <c r="S905" s="94"/>
      <c r="T905" s="94"/>
      <c r="U905" s="94"/>
      <c r="V905" s="94"/>
      <c r="W905" s="94"/>
      <c r="X905" s="94"/>
      <c r="Y905" s="38"/>
    </row>
    <row r="906" spans="1:25" ht="15.75" customHeight="1">
      <c r="A906" s="94"/>
      <c r="B906" s="94"/>
      <c r="C906" s="94"/>
      <c r="D906" s="94"/>
      <c r="E906" s="179"/>
      <c r="F906" s="94"/>
      <c r="G906" s="94"/>
      <c r="H906" s="94"/>
      <c r="I906" s="94"/>
      <c r="J906" s="94"/>
      <c r="K906" s="94"/>
      <c r="L906" s="94"/>
      <c r="M906" s="94"/>
      <c r="N906" s="94"/>
      <c r="O906" s="94"/>
      <c r="P906" s="94"/>
      <c r="Q906" s="94"/>
      <c r="R906" s="94"/>
      <c r="S906" s="94"/>
      <c r="T906" s="94"/>
      <c r="U906" s="94"/>
      <c r="V906" s="94"/>
      <c r="W906" s="94"/>
      <c r="X906" s="94"/>
      <c r="Y906" s="38"/>
    </row>
    <row r="907" spans="1:25" ht="15.75" customHeight="1">
      <c r="A907" s="94"/>
      <c r="B907" s="94"/>
      <c r="C907" s="94"/>
      <c r="D907" s="94"/>
      <c r="E907" s="179"/>
      <c r="F907" s="94"/>
      <c r="G907" s="94"/>
      <c r="H907" s="94"/>
      <c r="I907" s="94"/>
      <c r="J907" s="94"/>
      <c r="K907" s="94"/>
      <c r="L907" s="94"/>
      <c r="M907" s="94"/>
      <c r="N907" s="94"/>
      <c r="O907" s="94"/>
      <c r="P907" s="94"/>
      <c r="Q907" s="94"/>
      <c r="R907" s="94"/>
      <c r="S907" s="94"/>
      <c r="T907" s="94"/>
      <c r="U907" s="94"/>
      <c r="V907" s="94"/>
      <c r="W907" s="94"/>
      <c r="X907" s="94"/>
      <c r="Y907" s="38"/>
    </row>
    <row r="908" spans="1:25" ht="15.75" customHeight="1">
      <c r="A908" s="94"/>
      <c r="B908" s="94"/>
      <c r="C908" s="94"/>
      <c r="D908" s="94"/>
      <c r="E908" s="179"/>
      <c r="F908" s="94"/>
      <c r="G908" s="94"/>
      <c r="H908" s="94"/>
      <c r="I908" s="94"/>
      <c r="J908" s="94"/>
      <c r="K908" s="94"/>
      <c r="L908" s="94"/>
      <c r="M908" s="94"/>
      <c r="N908" s="94"/>
      <c r="O908" s="94"/>
      <c r="P908" s="94"/>
      <c r="Q908" s="94"/>
      <c r="R908" s="94"/>
      <c r="S908" s="94"/>
      <c r="T908" s="94"/>
      <c r="U908" s="94"/>
      <c r="V908" s="94"/>
      <c r="W908" s="94"/>
      <c r="X908" s="94"/>
      <c r="Y908" s="38"/>
    </row>
    <row r="909" spans="1:25" ht="15.75" customHeight="1">
      <c r="A909" s="94"/>
      <c r="B909" s="94"/>
      <c r="C909" s="94"/>
      <c r="D909" s="94"/>
      <c r="E909" s="179"/>
      <c r="F909" s="94"/>
      <c r="G909" s="94"/>
      <c r="H909" s="94"/>
      <c r="I909" s="94"/>
      <c r="J909" s="94"/>
      <c r="K909" s="94"/>
      <c r="L909" s="94"/>
      <c r="M909" s="94"/>
      <c r="N909" s="94"/>
      <c r="O909" s="94"/>
      <c r="P909" s="94"/>
      <c r="Q909" s="94"/>
      <c r="R909" s="94"/>
      <c r="S909" s="94"/>
      <c r="T909" s="94"/>
      <c r="U909" s="94"/>
      <c r="V909" s="94"/>
      <c r="W909" s="94"/>
      <c r="X909" s="94"/>
      <c r="Y909" s="38"/>
    </row>
    <row r="910" spans="1:25" ht="15.75" customHeight="1">
      <c r="A910" s="94"/>
      <c r="B910" s="94"/>
      <c r="C910" s="94"/>
      <c r="D910" s="94"/>
      <c r="E910" s="179"/>
      <c r="F910" s="94"/>
      <c r="G910" s="94"/>
      <c r="H910" s="94"/>
      <c r="I910" s="94"/>
      <c r="J910" s="94"/>
      <c r="K910" s="94"/>
      <c r="L910" s="94"/>
      <c r="M910" s="94"/>
      <c r="N910" s="94"/>
      <c r="O910" s="94"/>
      <c r="P910" s="94"/>
      <c r="Q910" s="94"/>
      <c r="R910" s="94"/>
      <c r="S910" s="94"/>
      <c r="T910" s="94"/>
      <c r="U910" s="94"/>
      <c r="V910" s="94"/>
      <c r="W910" s="94"/>
      <c r="X910" s="94"/>
      <c r="Y910" s="38"/>
    </row>
    <row r="911" spans="1:25" ht="15.75" customHeight="1">
      <c r="A911" s="94"/>
      <c r="B911" s="94"/>
      <c r="C911" s="94"/>
      <c r="D911" s="94"/>
      <c r="E911" s="179"/>
      <c r="F911" s="94"/>
      <c r="G911" s="94"/>
      <c r="H911" s="94"/>
      <c r="I911" s="94"/>
      <c r="J911" s="94"/>
      <c r="K911" s="94"/>
      <c r="L911" s="94"/>
      <c r="M911" s="94"/>
      <c r="N911" s="94"/>
      <c r="O911" s="94"/>
      <c r="P911" s="94"/>
      <c r="Q911" s="94"/>
      <c r="R911" s="94"/>
      <c r="S911" s="94"/>
      <c r="T911" s="94"/>
      <c r="U911" s="94"/>
      <c r="V911" s="94"/>
      <c r="W911" s="94"/>
      <c r="X911" s="94"/>
      <c r="Y911" s="38"/>
    </row>
    <row r="912" spans="1:25" ht="15.75" customHeight="1">
      <c r="A912" s="94"/>
      <c r="B912" s="94"/>
      <c r="C912" s="94"/>
      <c r="D912" s="94"/>
      <c r="E912" s="179"/>
      <c r="F912" s="94"/>
      <c r="G912" s="94"/>
      <c r="H912" s="94"/>
      <c r="I912" s="94"/>
      <c r="J912" s="94"/>
      <c r="K912" s="94"/>
      <c r="L912" s="94"/>
      <c r="M912" s="94"/>
      <c r="N912" s="94"/>
      <c r="O912" s="94"/>
      <c r="P912" s="94"/>
      <c r="Q912" s="94"/>
      <c r="R912" s="94"/>
      <c r="S912" s="94"/>
      <c r="T912" s="94"/>
      <c r="U912" s="94"/>
      <c r="V912" s="94"/>
      <c r="W912" s="94"/>
      <c r="X912" s="94"/>
      <c r="Y912" s="38"/>
    </row>
    <row r="913" spans="1:25" ht="15.75" customHeight="1">
      <c r="A913" s="94"/>
      <c r="B913" s="94"/>
      <c r="C913" s="94"/>
      <c r="D913" s="94"/>
      <c r="E913" s="179"/>
      <c r="F913" s="94"/>
      <c r="G913" s="94"/>
      <c r="H913" s="94"/>
      <c r="I913" s="94"/>
      <c r="J913" s="94"/>
      <c r="K913" s="94"/>
      <c r="L913" s="94"/>
      <c r="M913" s="94"/>
      <c r="N913" s="94"/>
      <c r="O913" s="94"/>
      <c r="P913" s="94"/>
      <c r="Q913" s="94"/>
      <c r="R913" s="94"/>
      <c r="S913" s="94"/>
      <c r="T913" s="94"/>
      <c r="U913" s="94"/>
      <c r="V913" s="94"/>
      <c r="W913" s="94"/>
      <c r="X913" s="94"/>
      <c r="Y913" s="38"/>
    </row>
    <row r="914" spans="1:25" ht="15.75" customHeight="1">
      <c r="A914" s="94"/>
      <c r="B914" s="94"/>
      <c r="C914" s="94"/>
      <c r="D914" s="94"/>
      <c r="E914" s="179"/>
      <c r="F914" s="94"/>
      <c r="G914" s="94"/>
      <c r="H914" s="94"/>
      <c r="I914" s="94"/>
      <c r="J914" s="94"/>
      <c r="K914" s="94"/>
      <c r="L914" s="94"/>
      <c r="M914" s="94"/>
      <c r="N914" s="94"/>
      <c r="O914" s="94"/>
      <c r="P914" s="94"/>
      <c r="Q914" s="94"/>
      <c r="R914" s="94"/>
      <c r="S914" s="94"/>
      <c r="T914" s="94"/>
      <c r="U914" s="94"/>
      <c r="V914" s="94"/>
      <c r="W914" s="94"/>
      <c r="X914" s="94"/>
      <c r="Y914" s="38"/>
    </row>
    <row r="915" spans="1:25" ht="15.75" customHeight="1">
      <c r="A915" s="94"/>
      <c r="B915" s="94"/>
      <c r="C915" s="94"/>
      <c r="D915" s="94"/>
      <c r="E915" s="179"/>
      <c r="F915" s="94"/>
      <c r="G915" s="94"/>
      <c r="H915" s="94"/>
      <c r="I915" s="94"/>
      <c r="J915" s="94"/>
      <c r="K915" s="94"/>
      <c r="L915" s="94"/>
      <c r="M915" s="94"/>
      <c r="N915" s="94"/>
      <c r="O915" s="94"/>
      <c r="P915" s="94"/>
      <c r="Q915" s="94"/>
      <c r="R915" s="94"/>
      <c r="S915" s="94"/>
      <c r="T915" s="94"/>
      <c r="U915" s="94"/>
      <c r="V915" s="94"/>
      <c r="W915" s="94"/>
      <c r="X915" s="94"/>
      <c r="Y915" s="38"/>
    </row>
    <row r="916" spans="1:25" ht="15.75" customHeight="1">
      <c r="A916" s="94"/>
      <c r="B916" s="94"/>
      <c r="C916" s="94"/>
      <c r="D916" s="94"/>
      <c r="E916" s="179"/>
      <c r="F916" s="94"/>
      <c r="G916" s="94"/>
      <c r="H916" s="94"/>
      <c r="I916" s="94"/>
      <c r="J916" s="94"/>
      <c r="K916" s="94"/>
      <c r="L916" s="94"/>
      <c r="M916" s="94"/>
      <c r="N916" s="94"/>
      <c r="O916" s="94"/>
      <c r="P916" s="94"/>
      <c r="Q916" s="94"/>
      <c r="R916" s="94"/>
      <c r="S916" s="94"/>
      <c r="T916" s="94"/>
      <c r="U916" s="94"/>
      <c r="V916" s="94"/>
      <c r="W916" s="94"/>
      <c r="X916" s="94"/>
      <c r="Y916" s="38"/>
    </row>
    <row r="917" spans="1:25" ht="15.75" customHeight="1">
      <c r="A917" s="94"/>
      <c r="B917" s="94"/>
      <c r="C917" s="94"/>
      <c r="D917" s="94"/>
      <c r="E917" s="179"/>
      <c r="F917" s="94"/>
      <c r="G917" s="94"/>
      <c r="H917" s="94"/>
      <c r="I917" s="94"/>
      <c r="J917" s="94"/>
      <c r="K917" s="94"/>
      <c r="L917" s="94"/>
      <c r="M917" s="94"/>
      <c r="N917" s="94"/>
      <c r="O917" s="94"/>
      <c r="P917" s="94"/>
      <c r="Q917" s="94"/>
      <c r="R917" s="94"/>
      <c r="S917" s="94"/>
      <c r="T917" s="94"/>
      <c r="U917" s="94"/>
      <c r="V917" s="94"/>
      <c r="W917" s="94"/>
      <c r="X917" s="94"/>
      <c r="Y917" s="38"/>
    </row>
    <row r="918" spans="1:25" ht="15.75" customHeight="1">
      <c r="A918" s="94"/>
      <c r="B918" s="94"/>
      <c r="C918" s="94"/>
      <c r="D918" s="94"/>
      <c r="E918" s="179"/>
      <c r="F918" s="94"/>
      <c r="G918" s="94"/>
      <c r="H918" s="94"/>
      <c r="I918" s="94"/>
      <c r="J918" s="94"/>
      <c r="K918" s="94"/>
      <c r="L918" s="94"/>
      <c r="M918" s="94"/>
      <c r="N918" s="94"/>
      <c r="O918" s="94"/>
      <c r="P918" s="94"/>
      <c r="Q918" s="94"/>
      <c r="R918" s="94"/>
      <c r="S918" s="94"/>
      <c r="T918" s="94"/>
      <c r="U918" s="94"/>
      <c r="V918" s="94"/>
      <c r="W918" s="94"/>
      <c r="X918" s="94"/>
      <c r="Y918" s="38"/>
    </row>
    <row r="919" spans="1:25" ht="15.75" customHeight="1">
      <c r="A919" s="94"/>
      <c r="B919" s="94"/>
      <c r="C919" s="94"/>
      <c r="D919" s="94"/>
      <c r="E919" s="179"/>
      <c r="F919" s="94"/>
      <c r="G919" s="94"/>
      <c r="H919" s="94"/>
      <c r="I919" s="94"/>
      <c r="J919" s="94"/>
      <c r="K919" s="94"/>
      <c r="L919" s="94"/>
      <c r="M919" s="94"/>
      <c r="N919" s="94"/>
      <c r="O919" s="94"/>
      <c r="P919" s="94"/>
      <c r="Q919" s="94"/>
      <c r="R919" s="94"/>
      <c r="S919" s="94"/>
      <c r="T919" s="94"/>
      <c r="U919" s="94"/>
      <c r="V919" s="94"/>
      <c r="W919" s="94"/>
      <c r="X919" s="94"/>
      <c r="Y919" s="38"/>
    </row>
    <row r="920" spans="1:25" ht="15.75" customHeight="1">
      <c r="A920" s="94"/>
      <c r="B920" s="94"/>
      <c r="C920" s="94"/>
      <c r="D920" s="94"/>
      <c r="E920" s="179"/>
      <c r="F920" s="94"/>
      <c r="G920" s="94"/>
      <c r="H920" s="94"/>
      <c r="I920" s="94"/>
      <c r="J920" s="94"/>
      <c r="K920" s="94"/>
      <c r="L920" s="94"/>
      <c r="M920" s="94"/>
      <c r="N920" s="94"/>
      <c r="O920" s="94"/>
      <c r="P920" s="94"/>
      <c r="Q920" s="94"/>
      <c r="R920" s="94"/>
      <c r="S920" s="94"/>
      <c r="T920" s="94"/>
      <c r="U920" s="94"/>
      <c r="V920" s="94"/>
      <c r="W920" s="94"/>
      <c r="X920" s="94"/>
      <c r="Y920" s="38"/>
    </row>
    <row r="921" spans="1:25" ht="15.75" customHeight="1">
      <c r="A921" s="94"/>
      <c r="B921" s="94"/>
      <c r="C921" s="94"/>
      <c r="D921" s="94"/>
      <c r="E921" s="179"/>
      <c r="F921" s="94"/>
      <c r="G921" s="94"/>
      <c r="H921" s="94"/>
      <c r="I921" s="94"/>
      <c r="J921" s="94"/>
      <c r="K921" s="94"/>
      <c r="L921" s="94"/>
      <c r="M921" s="94"/>
      <c r="N921" s="94"/>
      <c r="O921" s="94"/>
      <c r="P921" s="94"/>
      <c r="Q921" s="94"/>
      <c r="R921" s="94"/>
      <c r="S921" s="94"/>
      <c r="T921" s="94"/>
      <c r="U921" s="94"/>
      <c r="V921" s="94"/>
      <c r="W921" s="94"/>
      <c r="X921" s="94"/>
      <c r="Y921" s="38"/>
    </row>
    <row r="922" spans="1:25" ht="15.75" customHeight="1">
      <c r="A922" s="94"/>
      <c r="B922" s="94"/>
      <c r="C922" s="94"/>
      <c r="D922" s="94"/>
      <c r="E922" s="179"/>
      <c r="F922" s="94"/>
      <c r="G922" s="94"/>
      <c r="H922" s="94"/>
      <c r="I922" s="94"/>
      <c r="J922" s="94"/>
      <c r="K922" s="94"/>
      <c r="L922" s="94"/>
      <c r="M922" s="94"/>
      <c r="N922" s="94"/>
      <c r="O922" s="94"/>
      <c r="P922" s="94"/>
      <c r="Q922" s="94"/>
      <c r="R922" s="94"/>
      <c r="S922" s="94"/>
      <c r="T922" s="94"/>
      <c r="U922" s="94"/>
      <c r="V922" s="94"/>
      <c r="W922" s="94"/>
      <c r="X922" s="94"/>
      <c r="Y922" s="38"/>
    </row>
    <row r="923" spans="1:25" ht="15.75" customHeight="1">
      <c r="A923" s="94"/>
      <c r="B923" s="94"/>
      <c r="C923" s="94"/>
      <c r="D923" s="94"/>
      <c r="E923" s="179"/>
      <c r="F923" s="94"/>
      <c r="G923" s="94"/>
      <c r="H923" s="94"/>
      <c r="I923" s="94"/>
      <c r="J923" s="94"/>
      <c r="K923" s="94"/>
      <c r="L923" s="94"/>
      <c r="M923" s="94"/>
      <c r="N923" s="94"/>
      <c r="O923" s="94"/>
      <c r="P923" s="94"/>
      <c r="Q923" s="94"/>
      <c r="R923" s="94"/>
      <c r="S923" s="94"/>
      <c r="T923" s="94"/>
      <c r="U923" s="94"/>
      <c r="V923" s="94"/>
      <c r="W923" s="94"/>
      <c r="X923" s="94"/>
      <c r="Y923" s="38"/>
    </row>
    <row r="924" spans="1:25" ht="15.75" customHeight="1">
      <c r="A924" s="94"/>
      <c r="B924" s="94"/>
      <c r="C924" s="94"/>
      <c r="D924" s="94"/>
      <c r="E924" s="179"/>
      <c r="F924" s="94"/>
      <c r="G924" s="94"/>
      <c r="H924" s="94"/>
      <c r="I924" s="94"/>
      <c r="J924" s="94"/>
      <c r="K924" s="94"/>
      <c r="L924" s="94"/>
      <c r="M924" s="94"/>
      <c r="N924" s="94"/>
      <c r="O924" s="94"/>
      <c r="P924" s="94"/>
      <c r="Q924" s="94"/>
      <c r="R924" s="94"/>
      <c r="S924" s="94"/>
      <c r="T924" s="94"/>
      <c r="U924" s="94"/>
      <c r="V924" s="94"/>
      <c r="W924" s="94"/>
      <c r="X924" s="94"/>
      <c r="Y924" s="38"/>
    </row>
    <row r="925" spans="1:25" ht="15.75" customHeight="1">
      <c r="A925" s="94"/>
      <c r="B925" s="94"/>
      <c r="C925" s="94"/>
      <c r="D925" s="94"/>
      <c r="E925" s="179"/>
      <c r="F925" s="94"/>
      <c r="G925" s="94"/>
      <c r="H925" s="94"/>
      <c r="I925" s="94"/>
      <c r="J925" s="94"/>
      <c r="K925" s="94"/>
      <c r="L925" s="94"/>
      <c r="M925" s="94"/>
      <c r="N925" s="94"/>
      <c r="O925" s="94"/>
      <c r="P925" s="94"/>
      <c r="Q925" s="94"/>
      <c r="R925" s="94"/>
      <c r="S925" s="94"/>
      <c r="T925" s="94"/>
      <c r="U925" s="94"/>
      <c r="V925" s="94"/>
      <c r="W925" s="94"/>
      <c r="X925" s="94"/>
      <c r="Y925" s="38"/>
    </row>
    <row r="926" spans="1:25" ht="15.75" customHeight="1">
      <c r="A926" s="94"/>
      <c r="B926" s="94"/>
      <c r="C926" s="94"/>
      <c r="D926" s="94"/>
      <c r="E926" s="179"/>
      <c r="F926" s="94"/>
      <c r="G926" s="94"/>
      <c r="H926" s="94"/>
      <c r="I926" s="94"/>
      <c r="J926" s="94"/>
      <c r="K926" s="94"/>
      <c r="L926" s="94"/>
      <c r="M926" s="94"/>
      <c r="N926" s="94"/>
      <c r="O926" s="94"/>
      <c r="P926" s="94"/>
      <c r="Q926" s="94"/>
      <c r="R926" s="94"/>
      <c r="S926" s="94"/>
      <c r="T926" s="94"/>
      <c r="U926" s="94"/>
      <c r="V926" s="94"/>
      <c r="W926" s="94"/>
      <c r="X926" s="94"/>
      <c r="Y926" s="38"/>
    </row>
    <row r="927" spans="1:25" ht="15.75" customHeight="1">
      <c r="A927" s="94"/>
      <c r="B927" s="94"/>
      <c r="C927" s="94"/>
      <c r="D927" s="94"/>
      <c r="E927" s="179"/>
      <c r="F927" s="94"/>
      <c r="G927" s="94"/>
      <c r="H927" s="94"/>
      <c r="I927" s="94"/>
      <c r="J927" s="94"/>
      <c r="K927" s="94"/>
      <c r="L927" s="94"/>
      <c r="M927" s="94"/>
      <c r="N927" s="94"/>
      <c r="O927" s="94"/>
      <c r="P927" s="94"/>
      <c r="Q927" s="94"/>
      <c r="R927" s="94"/>
      <c r="S927" s="94"/>
      <c r="T927" s="94"/>
      <c r="U927" s="94"/>
      <c r="V927" s="94"/>
      <c r="W927" s="94"/>
      <c r="X927" s="94"/>
      <c r="Y927" s="38"/>
    </row>
    <row r="928" spans="1:25" ht="15.75" customHeight="1">
      <c r="A928" s="94"/>
      <c r="B928" s="94"/>
      <c r="C928" s="94"/>
      <c r="D928" s="94"/>
      <c r="E928" s="179"/>
      <c r="F928" s="94"/>
      <c r="G928" s="94"/>
      <c r="H928" s="94"/>
      <c r="I928" s="94"/>
      <c r="J928" s="94"/>
      <c r="K928" s="94"/>
      <c r="L928" s="94"/>
      <c r="M928" s="94"/>
      <c r="N928" s="94"/>
      <c r="O928" s="94"/>
      <c r="P928" s="94"/>
      <c r="Q928" s="94"/>
      <c r="R928" s="94"/>
      <c r="S928" s="94"/>
      <c r="T928" s="94"/>
      <c r="U928" s="94"/>
      <c r="V928" s="94"/>
      <c r="W928" s="94"/>
      <c r="X928" s="94"/>
      <c r="Y928" s="38"/>
    </row>
    <row r="929" spans="1:25" ht="15.75" customHeight="1">
      <c r="A929" s="94"/>
      <c r="B929" s="94"/>
      <c r="C929" s="94"/>
      <c r="D929" s="94"/>
      <c r="E929" s="179"/>
      <c r="F929" s="94"/>
      <c r="G929" s="94"/>
      <c r="H929" s="94"/>
      <c r="I929" s="94"/>
      <c r="J929" s="94"/>
      <c r="K929" s="94"/>
      <c r="L929" s="94"/>
      <c r="M929" s="94"/>
      <c r="N929" s="94"/>
      <c r="O929" s="94"/>
      <c r="P929" s="94"/>
      <c r="Q929" s="94"/>
      <c r="R929" s="94"/>
      <c r="S929" s="94"/>
      <c r="T929" s="94"/>
      <c r="U929" s="94"/>
      <c r="V929" s="94"/>
      <c r="W929" s="94"/>
      <c r="X929" s="94"/>
      <c r="Y929" s="38"/>
    </row>
    <row r="930" spans="1:25" ht="15.75" customHeight="1">
      <c r="A930" s="94"/>
      <c r="B930" s="94"/>
      <c r="C930" s="94"/>
      <c r="D930" s="94"/>
      <c r="E930" s="179"/>
      <c r="F930" s="94"/>
      <c r="G930" s="94"/>
      <c r="H930" s="94"/>
      <c r="I930" s="94"/>
      <c r="J930" s="94"/>
      <c r="K930" s="94"/>
      <c r="L930" s="94"/>
      <c r="M930" s="94"/>
      <c r="N930" s="94"/>
      <c r="O930" s="94"/>
      <c r="P930" s="94"/>
      <c r="Q930" s="94"/>
      <c r="R930" s="94"/>
      <c r="S930" s="94"/>
      <c r="T930" s="94"/>
      <c r="U930" s="94"/>
      <c r="V930" s="94"/>
      <c r="W930" s="94"/>
      <c r="X930" s="94"/>
      <c r="Y930" s="38"/>
    </row>
    <row r="931" spans="1:25" ht="15.75" customHeight="1">
      <c r="A931" s="94"/>
      <c r="B931" s="94"/>
      <c r="C931" s="94"/>
      <c r="D931" s="94"/>
      <c r="E931" s="179"/>
      <c r="F931" s="94"/>
      <c r="G931" s="94"/>
      <c r="H931" s="94"/>
      <c r="I931" s="94"/>
      <c r="J931" s="94"/>
      <c r="K931" s="94"/>
      <c r="L931" s="94"/>
      <c r="M931" s="94"/>
      <c r="N931" s="94"/>
      <c r="O931" s="94"/>
      <c r="P931" s="94"/>
      <c r="Q931" s="94"/>
      <c r="R931" s="94"/>
      <c r="S931" s="94"/>
      <c r="T931" s="94"/>
      <c r="U931" s="94"/>
      <c r="V931" s="94"/>
      <c r="W931" s="94"/>
      <c r="X931" s="94"/>
      <c r="Y931" s="38"/>
    </row>
    <row r="932" spans="1:25" ht="15.75" customHeight="1">
      <c r="A932" s="94"/>
      <c r="B932" s="94"/>
      <c r="C932" s="94"/>
      <c r="D932" s="94"/>
      <c r="E932" s="179"/>
      <c r="F932" s="94"/>
      <c r="G932" s="94"/>
      <c r="H932" s="94"/>
      <c r="I932" s="94"/>
      <c r="J932" s="94"/>
      <c r="K932" s="94"/>
      <c r="L932" s="94"/>
      <c r="M932" s="94"/>
      <c r="N932" s="94"/>
      <c r="O932" s="94"/>
      <c r="P932" s="94"/>
      <c r="Q932" s="94"/>
      <c r="R932" s="94"/>
      <c r="S932" s="94"/>
      <c r="T932" s="94"/>
      <c r="U932" s="94"/>
      <c r="V932" s="94"/>
      <c r="W932" s="94"/>
      <c r="X932" s="94"/>
      <c r="Y932" s="38"/>
    </row>
    <row r="933" spans="1:25" ht="15.75" customHeight="1">
      <c r="A933" s="94"/>
      <c r="B933" s="94"/>
      <c r="C933" s="94"/>
      <c r="D933" s="94"/>
      <c r="E933" s="179"/>
      <c r="F933" s="94"/>
      <c r="G933" s="94"/>
      <c r="H933" s="94"/>
      <c r="I933" s="94"/>
      <c r="J933" s="94"/>
      <c r="K933" s="94"/>
      <c r="L933" s="94"/>
      <c r="M933" s="94"/>
      <c r="N933" s="94"/>
      <c r="O933" s="94"/>
      <c r="P933" s="94"/>
      <c r="Q933" s="94"/>
      <c r="R933" s="94"/>
      <c r="S933" s="94"/>
      <c r="T933" s="94"/>
      <c r="U933" s="94"/>
      <c r="V933" s="94"/>
      <c r="W933" s="94"/>
      <c r="X933" s="94"/>
      <c r="Y933" s="38"/>
    </row>
    <row r="934" spans="1:25" ht="15.75" customHeight="1">
      <c r="A934" s="94"/>
      <c r="B934" s="94"/>
      <c r="C934" s="94"/>
      <c r="D934" s="94"/>
      <c r="E934" s="179"/>
      <c r="F934" s="94"/>
      <c r="G934" s="94"/>
      <c r="H934" s="94"/>
      <c r="I934" s="94"/>
      <c r="J934" s="94"/>
      <c r="K934" s="94"/>
      <c r="L934" s="94"/>
      <c r="M934" s="94"/>
      <c r="N934" s="94"/>
      <c r="O934" s="94"/>
      <c r="P934" s="94"/>
      <c r="Q934" s="94"/>
      <c r="R934" s="94"/>
      <c r="S934" s="94"/>
      <c r="T934" s="94"/>
      <c r="U934" s="94"/>
      <c r="V934" s="94"/>
      <c r="W934" s="94"/>
      <c r="X934" s="94"/>
      <c r="Y934" s="38"/>
    </row>
    <row r="935" spans="1:25" ht="15.75" customHeight="1">
      <c r="A935" s="94"/>
      <c r="B935" s="94"/>
      <c r="C935" s="94"/>
      <c r="D935" s="94"/>
      <c r="E935" s="179"/>
      <c r="F935" s="94"/>
      <c r="G935" s="94"/>
      <c r="H935" s="94"/>
      <c r="I935" s="94"/>
      <c r="J935" s="94"/>
      <c r="K935" s="94"/>
      <c r="L935" s="94"/>
      <c r="M935" s="94"/>
      <c r="N935" s="94"/>
      <c r="O935" s="94"/>
      <c r="P935" s="94"/>
      <c r="Q935" s="94"/>
      <c r="R935" s="94"/>
      <c r="S935" s="94"/>
      <c r="T935" s="94"/>
      <c r="U935" s="94"/>
      <c r="V935" s="94"/>
      <c r="W935" s="94"/>
      <c r="X935" s="94"/>
      <c r="Y935" s="38"/>
    </row>
    <row r="936" spans="1:25" ht="15.75" customHeight="1">
      <c r="A936" s="94"/>
      <c r="B936" s="94"/>
      <c r="C936" s="94"/>
      <c r="D936" s="94"/>
      <c r="E936" s="179"/>
      <c r="F936" s="94"/>
      <c r="G936" s="94"/>
      <c r="H936" s="94"/>
      <c r="I936" s="94"/>
      <c r="J936" s="94"/>
      <c r="K936" s="94"/>
      <c r="L936" s="94"/>
      <c r="M936" s="94"/>
      <c r="N936" s="94"/>
      <c r="O936" s="94"/>
      <c r="P936" s="94"/>
      <c r="Q936" s="94"/>
      <c r="R936" s="94"/>
      <c r="S936" s="94"/>
      <c r="T936" s="94"/>
      <c r="U936" s="94"/>
      <c r="V936" s="94"/>
      <c r="W936" s="94"/>
      <c r="X936" s="94"/>
      <c r="Y936" s="38"/>
    </row>
    <row r="937" spans="1:25" ht="15.75" customHeight="1">
      <c r="A937" s="94"/>
      <c r="B937" s="94"/>
      <c r="C937" s="94"/>
      <c r="D937" s="94"/>
      <c r="E937" s="179"/>
      <c r="F937" s="94"/>
      <c r="G937" s="94"/>
      <c r="H937" s="94"/>
      <c r="I937" s="94"/>
      <c r="J937" s="94"/>
      <c r="K937" s="94"/>
      <c r="L937" s="94"/>
      <c r="M937" s="94"/>
      <c r="N937" s="94"/>
      <c r="O937" s="94"/>
      <c r="P937" s="94"/>
      <c r="Q937" s="94"/>
      <c r="R937" s="94"/>
      <c r="S937" s="94"/>
      <c r="T937" s="94"/>
      <c r="U937" s="94"/>
      <c r="V937" s="94"/>
      <c r="W937" s="94"/>
      <c r="X937" s="94"/>
      <c r="Y937" s="38"/>
    </row>
    <row r="938" spans="1:25" ht="15.75" customHeight="1">
      <c r="A938" s="94"/>
      <c r="B938" s="94"/>
      <c r="C938" s="94"/>
      <c r="D938" s="94"/>
      <c r="E938" s="179"/>
      <c r="F938" s="94"/>
      <c r="G938" s="94"/>
      <c r="H938" s="94"/>
      <c r="I938" s="94"/>
      <c r="J938" s="94"/>
      <c r="K938" s="94"/>
      <c r="L938" s="94"/>
      <c r="M938" s="94"/>
      <c r="N938" s="94"/>
      <c r="O938" s="94"/>
      <c r="P938" s="94"/>
      <c r="Q938" s="94"/>
      <c r="R938" s="94"/>
      <c r="S938" s="94"/>
      <c r="T938" s="94"/>
      <c r="U938" s="94"/>
      <c r="V938" s="94"/>
      <c r="W938" s="94"/>
      <c r="X938" s="94"/>
      <c r="Y938" s="38"/>
    </row>
    <row r="939" spans="1:25" ht="15.75" customHeight="1">
      <c r="A939" s="94"/>
      <c r="B939" s="94"/>
      <c r="C939" s="94"/>
      <c r="D939" s="94"/>
      <c r="E939" s="179"/>
      <c r="F939" s="94"/>
      <c r="G939" s="94"/>
      <c r="H939" s="94"/>
      <c r="I939" s="94"/>
      <c r="J939" s="94"/>
      <c r="K939" s="94"/>
      <c r="L939" s="94"/>
      <c r="M939" s="94"/>
      <c r="N939" s="94"/>
      <c r="O939" s="94"/>
      <c r="P939" s="94"/>
      <c r="Q939" s="94"/>
      <c r="R939" s="94"/>
      <c r="S939" s="94"/>
      <c r="T939" s="94"/>
      <c r="U939" s="94"/>
      <c r="V939" s="94"/>
      <c r="W939" s="94"/>
      <c r="X939" s="94"/>
      <c r="Y939" s="38"/>
    </row>
    <row r="940" spans="1:25" ht="15.75" customHeight="1">
      <c r="A940" s="94"/>
      <c r="B940" s="94"/>
      <c r="C940" s="94"/>
      <c r="D940" s="94"/>
      <c r="E940" s="179"/>
      <c r="F940" s="94"/>
      <c r="G940" s="94"/>
      <c r="H940" s="94"/>
      <c r="I940" s="94"/>
      <c r="J940" s="94"/>
      <c r="K940" s="94"/>
      <c r="L940" s="94"/>
      <c r="M940" s="94"/>
      <c r="N940" s="94"/>
      <c r="O940" s="94"/>
      <c r="P940" s="94"/>
      <c r="Q940" s="94"/>
      <c r="R940" s="94"/>
      <c r="S940" s="94"/>
      <c r="T940" s="94"/>
      <c r="U940" s="94"/>
      <c r="V940" s="94"/>
      <c r="W940" s="94"/>
      <c r="X940" s="94"/>
      <c r="Y940" s="38"/>
    </row>
    <row r="941" spans="1:25" ht="15.75" customHeight="1">
      <c r="A941" s="94"/>
      <c r="B941" s="94"/>
      <c r="C941" s="94"/>
      <c r="D941" s="94"/>
      <c r="E941" s="179"/>
      <c r="F941" s="94"/>
      <c r="G941" s="94"/>
      <c r="H941" s="94"/>
      <c r="I941" s="94"/>
      <c r="J941" s="94"/>
      <c r="K941" s="94"/>
      <c r="L941" s="94"/>
      <c r="M941" s="94"/>
      <c r="N941" s="94"/>
      <c r="O941" s="94"/>
      <c r="P941" s="94"/>
      <c r="Q941" s="94"/>
      <c r="R941" s="94"/>
      <c r="S941" s="94"/>
      <c r="T941" s="94"/>
      <c r="U941" s="94"/>
      <c r="V941" s="94"/>
      <c r="W941" s="94"/>
      <c r="X941" s="94"/>
      <c r="Y941" s="38"/>
    </row>
    <row r="942" spans="1:25" ht="15.75" customHeight="1">
      <c r="A942" s="94"/>
      <c r="B942" s="94"/>
      <c r="C942" s="94"/>
      <c r="D942" s="94"/>
      <c r="E942" s="179"/>
      <c r="F942" s="94"/>
      <c r="G942" s="94"/>
      <c r="H942" s="94"/>
      <c r="I942" s="94"/>
      <c r="J942" s="94"/>
      <c r="K942" s="94"/>
      <c r="L942" s="94"/>
      <c r="M942" s="94"/>
      <c r="N942" s="94"/>
      <c r="O942" s="94"/>
      <c r="P942" s="94"/>
      <c r="Q942" s="94"/>
      <c r="R942" s="94"/>
      <c r="S942" s="94"/>
      <c r="T942" s="94"/>
      <c r="U942" s="94"/>
      <c r="V942" s="94"/>
      <c r="W942" s="94"/>
      <c r="X942" s="94"/>
      <c r="Y942" s="38"/>
    </row>
    <row r="943" spans="1:25" ht="15.75" customHeight="1">
      <c r="A943" s="94"/>
      <c r="B943" s="94"/>
      <c r="C943" s="94"/>
      <c r="D943" s="94"/>
      <c r="E943" s="179"/>
      <c r="F943" s="94"/>
      <c r="G943" s="94"/>
      <c r="H943" s="94"/>
      <c r="I943" s="94"/>
      <c r="J943" s="94"/>
      <c r="K943" s="94"/>
      <c r="L943" s="94"/>
      <c r="M943" s="94"/>
      <c r="N943" s="94"/>
      <c r="O943" s="94"/>
      <c r="P943" s="94"/>
      <c r="Q943" s="94"/>
      <c r="R943" s="94"/>
      <c r="S943" s="94"/>
      <c r="T943" s="94"/>
      <c r="U943" s="94"/>
      <c r="V943" s="94"/>
      <c r="W943" s="94"/>
      <c r="X943" s="94"/>
      <c r="Y943" s="38"/>
    </row>
    <row r="944" spans="1:25" ht="15.75" customHeight="1">
      <c r="A944" s="94"/>
      <c r="B944" s="94"/>
      <c r="C944" s="94"/>
      <c r="D944" s="94"/>
      <c r="E944" s="179"/>
      <c r="F944" s="94"/>
      <c r="G944" s="94"/>
      <c r="H944" s="94"/>
      <c r="I944" s="94"/>
      <c r="J944" s="94"/>
      <c r="K944" s="94"/>
      <c r="L944" s="94"/>
      <c r="M944" s="94"/>
      <c r="N944" s="94"/>
      <c r="O944" s="94"/>
      <c r="P944" s="94"/>
      <c r="Q944" s="94"/>
      <c r="R944" s="94"/>
      <c r="S944" s="94"/>
      <c r="T944" s="94"/>
      <c r="U944" s="94"/>
      <c r="V944" s="94"/>
      <c r="W944" s="94"/>
      <c r="X944" s="94"/>
      <c r="Y944" s="38"/>
    </row>
    <row r="945" spans="1:25" ht="15.75" customHeight="1">
      <c r="A945" s="94"/>
      <c r="B945" s="94"/>
      <c r="C945" s="94"/>
      <c r="D945" s="94"/>
      <c r="E945" s="179"/>
      <c r="F945" s="94"/>
      <c r="G945" s="94"/>
      <c r="H945" s="94"/>
      <c r="I945" s="94"/>
      <c r="J945" s="94"/>
      <c r="K945" s="94"/>
      <c r="L945" s="94"/>
      <c r="M945" s="94"/>
      <c r="N945" s="94"/>
      <c r="O945" s="94"/>
      <c r="P945" s="94"/>
      <c r="Q945" s="94"/>
      <c r="R945" s="94"/>
      <c r="S945" s="94"/>
      <c r="T945" s="94"/>
      <c r="U945" s="94"/>
      <c r="V945" s="94"/>
      <c r="W945" s="94"/>
      <c r="X945" s="94"/>
      <c r="Y945" s="38"/>
    </row>
    <row r="946" spans="1:25" ht="15.75" customHeight="1">
      <c r="A946" s="94"/>
      <c r="B946" s="94"/>
      <c r="C946" s="94"/>
      <c r="D946" s="94"/>
      <c r="E946" s="179"/>
      <c r="F946" s="94"/>
      <c r="G946" s="94"/>
      <c r="H946" s="94"/>
      <c r="I946" s="94"/>
      <c r="J946" s="94"/>
      <c r="K946" s="94"/>
      <c r="L946" s="94"/>
      <c r="M946" s="94"/>
      <c r="N946" s="94"/>
      <c r="O946" s="94"/>
      <c r="P946" s="94"/>
      <c r="Q946" s="94"/>
      <c r="R946" s="94"/>
      <c r="S946" s="94"/>
      <c r="T946" s="94"/>
      <c r="U946" s="94"/>
      <c r="V946" s="94"/>
      <c r="W946" s="94"/>
      <c r="X946" s="94"/>
      <c r="Y946" s="38"/>
    </row>
    <row r="947" spans="1:25" ht="15.75" customHeight="1">
      <c r="A947" s="94"/>
      <c r="B947" s="94"/>
      <c r="C947" s="94"/>
      <c r="D947" s="94"/>
      <c r="E947" s="179"/>
      <c r="F947" s="94"/>
      <c r="G947" s="94"/>
      <c r="H947" s="94"/>
      <c r="I947" s="94"/>
      <c r="J947" s="94"/>
      <c r="K947" s="94"/>
      <c r="L947" s="94"/>
      <c r="M947" s="94"/>
      <c r="N947" s="94"/>
      <c r="O947" s="94"/>
      <c r="P947" s="94"/>
      <c r="Q947" s="94"/>
      <c r="R947" s="94"/>
      <c r="S947" s="94"/>
      <c r="T947" s="94"/>
      <c r="U947" s="94"/>
      <c r="V947" s="94"/>
      <c r="W947" s="94"/>
      <c r="X947" s="94"/>
      <c r="Y947" s="38"/>
    </row>
    <row r="948" spans="1:25" ht="15.75" customHeight="1">
      <c r="A948" s="94"/>
      <c r="B948" s="94"/>
      <c r="C948" s="94"/>
      <c r="D948" s="94"/>
      <c r="E948" s="179"/>
      <c r="F948" s="94"/>
      <c r="G948" s="94"/>
      <c r="H948" s="94"/>
      <c r="I948" s="94"/>
      <c r="J948" s="94"/>
      <c r="K948" s="94"/>
      <c r="L948" s="94"/>
      <c r="M948" s="94"/>
      <c r="N948" s="94"/>
      <c r="O948" s="94"/>
      <c r="P948" s="94"/>
      <c r="Q948" s="94"/>
      <c r="R948" s="94"/>
      <c r="S948" s="94"/>
      <c r="T948" s="94"/>
      <c r="U948" s="94"/>
      <c r="V948" s="94"/>
      <c r="W948" s="94"/>
      <c r="X948" s="94"/>
      <c r="Y948" s="38"/>
    </row>
    <row r="949" spans="1:25" ht="15.75" customHeight="1">
      <c r="A949" s="94"/>
      <c r="B949" s="94"/>
      <c r="C949" s="94"/>
      <c r="D949" s="94"/>
      <c r="E949" s="179"/>
      <c r="F949" s="94"/>
      <c r="G949" s="94"/>
      <c r="H949" s="94"/>
      <c r="I949" s="94"/>
      <c r="J949" s="94"/>
      <c r="K949" s="94"/>
      <c r="L949" s="94"/>
      <c r="M949" s="94"/>
      <c r="N949" s="94"/>
      <c r="O949" s="94"/>
      <c r="P949" s="94"/>
      <c r="Q949" s="94"/>
      <c r="R949" s="94"/>
      <c r="S949" s="94"/>
      <c r="T949" s="94"/>
      <c r="U949" s="94"/>
      <c r="V949" s="94"/>
      <c r="W949" s="94"/>
      <c r="X949" s="94"/>
      <c r="Y949" s="38"/>
    </row>
    <row r="950" spans="1:25" ht="15.75" customHeight="1">
      <c r="A950" s="94"/>
      <c r="B950" s="94"/>
      <c r="C950" s="94"/>
      <c r="D950" s="94"/>
      <c r="E950" s="179"/>
      <c r="F950" s="94"/>
      <c r="G950" s="94"/>
      <c r="H950" s="94"/>
      <c r="I950" s="94"/>
      <c r="J950" s="94"/>
      <c r="K950" s="94"/>
      <c r="L950" s="94"/>
      <c r="M950" s="94"/>
      <c r="N950" s="94"/>
      <c r="O950" s="94"/>
      <c r="P950" s="94"/>
      <c r="Q950" s="94"/>
      <c r="R950" s="94"/>
      <c r="S950" s="94"/>
      <c r="T950" s="94"/>
      <c r="U950" s="94"/>
      <c r="V950" s="94"/>
      <c r="W950" s="94"/>
      <c r="X950" s="94"/>
      <c r="Y950" s="38"/>
    </row>
    <row r="951" spans="1:25" ht="15.75" customHeight="1">
      <c r="A951" s="94"/>
      <c r="B951" s="94"/>
      <c r="C951" s="94"/>
      <c r="D951" s="94"/>
      <c r="E951" s="179"/>
      <c r="F951" s="94"/>
      <c r="G951" s="94"/>
      <c r="H951" s="94"/>
      <c r="I951" s="94"/>
      <c r="J951" s="94"/>
      <c r="K951" s="94"/>
      <c r="L951" s="94"/>
      <c r="M951" s="94"/>
      <c r="N951" s="94"/>
      <c r="O951" s="94"/>
      <c r="P951" s="94"/>
      <c r="Q951" s="94"/>
      <c r="R951" s="94"/>
      <c r="S951" s="94"/>
      <c r="T951" s="94"/>
      <c r="U951" s="94"/>
      <c r="V951" s="94"/>
      <c r="W951" s="94"/>
      <c r="X951" s="94"/>
      <c r="Y951" s="38"/>
    </row>
    <row r="952" spans="1:25" ht="15.75" customHeight="1">
      <c r="A952" s="94"/>
      <c r="B952" s="94"/>
      <c r="C952" s="94"/>
      <c r="D952" s="94"/>
      <c r="E952" s="179"/>
      <c r="F952" s="94"/>
      <c r="G952" s="94"/>
      <c r="H952" s="94"/>
      <c r="I952" s="94"/>
      <c r="J952" s="94"/>
      <c r="K952" s="94"/>
      <c r="L952" s="94"/>
      <c r="M952" s="94"/>
      <c r="N952" s="94"/>
      <c r="O952" s="94"/>
      <c r="P952" s="94"/>
      <c r="Q952" s="94"/>
      <c r="R952" s="94"/>
      <c r="S952" s="94"/>
      <c r="T952" s="94"/>
      <c r="U952" s="94"/>
      <c r="V952" s="94"/>
      <c r="W952" s="94"/>
      <c r="X952" s="94"/>
      <c r="Y952" s="38"/>
    </row>
    <row r="953" spans="1:25" ht="15.75" customHeight="1">
      <c r="A953" s="94"/>
      <c r="B953" s="94"/>
      <c r="C953" s="94"/>
      <c r="D953" s="94"/>
      <c r="E953" s="179"/>
      <c r="F953" s="94"/>
      <c r="G953" s="94"/>
      <c r="H953" s="94"/>
      <c r="I953" s="94"/>
      <c r="J953" s="94"/>
      <c r="K953" s="94"/>
      <c r="L953" s="94"/>
      <c r="M953" s="94"/>
      <c r="N953" s="94"/>
      <c r="O953" s="94"/>
      <c r="P953" s="94"/>
      <c r="Q953" s="94"/>
      <c r="R953" s="94"/>
      <c r="S953" s="94"/>
      <c r="T953" s="94"/>
      <c r="U953" s="94"/>
      <c r="V953" s="94"/>
      <c r="W953" s="94"/>
      <c r="X953" s="94"/>
      <c r="Y953" s="38"/>
    </row>
    <row r="954" spans="1:25" ht="15.75" customHeight="1">
      <c r="A954" s="94"/>
      <c r="B954" s="94"/>
      <c r="C954" s="94"/>
      <c r="D954" s="94"/>
      <c r="E954" s="179"/>
      <c r="F954" s="94"/>
      <c r="G954" s="94"/>
      <c r="H954" s="94"/>
      <c r="I954" s="94"/>
      <c r="J954" s="94"/>
      <c r="K954" s="94"/>
      <c r="L954" s="94"/>
      <c r="M954" s="94"/>
      <c r="N954" s="94"/>
      <c r="O954" s="94"/>
      <c r="P954" s="94"/>
      <c r="Q954" s="94"/>
      <c r="R954" s="94"/>
      <c r="S954" s="94"/>
      <c r="T954" s="94"/>
      <c r="U954" s="94"/>
      <c r="V954" s="94"/>
      <c r="W954" s="94"/>
      <c r="X954" s="94"/>
      <c r="Y954" s="38"/>
    </row>
    <row r="955" spans="1:25" ht="15.75" customHeight="1">
      <c r="A955" s="94"/>
      <c r="B955" s="94"/>
      <c r="C955" s="94"/>
      <c r="D955" s="94"/>
      <c r="E955" s="179"/>
      <c r="F955" s="94"/>
      <c r="G955" s="94"/>
      <c r="H955" s="94"/>
      <c r="I955" s="94"/>
      <c r="J955" s="94"/>
      <c r="K955" s="94"/>
      <c r="L955" s="94"/>
      <c r="M955" s="94"/>
      <c r="N955" s="94"/>
      <c r="O955" s="94"/>
      <c r="P955" s="94"/>
      <c r="Q955" s="94"/>
      <c r="R955" s="94"/>
      <c r="S955" s="94"/>
      <c r="T955" s="94"/>
      <c r="U955" s="94"/>
      <c r="V955" s="94"/>
      <c r="W955" s="94"/>
      <c r="X955" s="94"/>
      <c r="Y955" s="38"/>
    </row>
    <row r="956" spans="1:25" ht="15.75" customHeight="1">
      <c r="A956" s="94"/>
      <c r="B956" s="94"/>
      <c r="C956" s="94"/>
      <c r="D956" s="94"/>
      <c r="E956" s="179"/>
      <c r="F956" s="94"/>
      <c r="G956" s="94"/>
      <c r="H956" s="94"/>
      <c r="I956" s="94"/>
      <c r="J956" s="94"/>
      <c r="K956" s="94"/>
      <c r="L956" s="94"/>
      <c r="M956" s="94"/>
      <c r="N956" s="94"/>
      <c r="O956" s="94"/>
      <c r="P956" s="94"/>
      <c r="Q956" s="94"/>
      <c r="R956" s="94"/>
      <c r="S956" s="94"/>
      <c r="T956" s="94"/>
      <c r="U956" s="94"/>
      <c r="V956" s="94"/>
      <c r="W956" s="94"/>
      <c r="X956" s="94"/>
      <c r="Y956" s="38"/>
    </row>
    <row r="957" spans="1:25" ht="15.75" customHeight="1">
      <c r="A957" s="94"/>
      <c r="B957" s="94"/>
      <c r="C957" s="94"/>
      <c r="D957" s="94"/>
      <c r="E957" s="179"/>
      <c r="F957" s="94"/>
      <c r="G957" s="94"/>
      <c r="H957" s="94"/>
      <c r="I957" s="94"/>
      <c r="J957" s="94"/>
      <c r="K957" s="94"/>
      <c r="L957" s="94"/>
      <c r="M957" s="94"/>
      <c r="N957" s="94"/>
      <c r="O957" s="94"/>
      <c r="P957" s="94"/>
      <c r="Q957" s="94"/>
      <c r="R957" s="94"/>
      <c r="S957" s="94"/>
      <c r="T957" s="94"/>
      <c r="U957" s="94"/>
      <c r="V957" s="94"/>
      <c r="W957" s="94"/>
      <c r="X957" s="94"/>
      <c r="Y957" s="38"/>
    </row>
    <row r="958" spans="1:25" ht="15.75" customHeight="1">
      <c r="A958" s="94"/>
      <c r="B958" s="94"/>
      <c r="C958" s="94"/>
      <c r="D958" s="94"/>
      <c r="E958" s="179"/>
      <c r="F958" s="94"/>
      <c r="G958" s="94"/>
      <c r="H958" s="94"/>
      <c r="I958" s="94"/>
      <c r="J958" s="94"/>
      <c r="K958" s="94"/>
      <c r="L958" s="94"/>
      <c r="M958" s="94"/>
      <c r="N958" s="94"/>
      <c r="O958" s="94"/>
      <c r="P958" s="94"/>
      <c r="Q958" s="94"/>
      <c r="R958" s="94"/>
      <c r="S958" s="94"/>
      <c r="T958" s="94"/>
      <c r="U958" s="94"/>
      <c r="V958" s="94"/>
      <c r="W958" s="94"/>
      <c r="X958" s="94"/>
      <c r="Y958" s="38"/>
    </row>
    <row r="959" spans="1:25" ht="15.75" customHeight="1">
      <c r="A959" s="94"/>
      <c r="B959" s="94"/>
      <c r="C959" s="94"/>
      <c r="D959" s="94"/>
      <c r="E959" s="179"/>
      <c r="F959" s="94"/>
      <c r="G959" s="94"/>
      <c r="H959" s="94"/>
      <c r="I959" s="94"/>
      <c r="J959" s="94"/>
      <c r="K959" s="94"/>
      <c r="L959" s="94"/>
      <c r="M959" s="94"/>
      <c r="N959" s="94"/>
      <c r="O959" s="94"/>
      <c r="P959" s="94"/>
      <c r="Q959" s="94"/>
      <c r="R959" s="94"/>
      <c r="S959" s="94"/>
      <c r="T959" s="94"/>
      <c r="U959" s="94"/>
      <c r="V959" s="94"/>
      <c r="W959" s="94"/>
      <c r="X959" s="94"/>
      <c r="Y959" s="38"/>
    </row>
    <row r="960" spans="1:25" ht="15.75" customHeight="1">
      <c r="A960" s="94"/>
      <c r="B960" s="94"/>
      <c r="C960" s="94"/>
      <c r="D960" s="94"/>
      <c r="E960" s="179"/>
      <c r="F960" s="94"/>
      <c r="G960" s="94"/>
      <c r="H960" s="94"/>
      <c r="I960" s="94"/>
      <c r="J960" s="94"/>
      <c r="K960" s="94"/>
      <c r="L960" s="94"/>
      <c r="M960" s="94"/>
      <c r="N960" s="94"/>
      <c r="O960" s="94"/>
      <c r="P960" s="94"/>
      <c r="Q960" s="94"/>
      <c r="R960" s="94"/>
      <c r="S960" s="94"/>
      <c r="T960" s="94"/>
      <c r="U960" s="94"/>
      <c r="V960" s="94"/>
      <c r="W960" s="94"/>
      <c r="X960" s="94"/>
      <c r="Y960" s="38"/>
    </row>
    <row r="961" spans="1:25" ht="15.75" customHeight="1">
      <c r="A961" s="94"/>
      <c r="B961" s="94"/>
      <c r="C961" s="94"/>
      <c r="D961" s="94"/>
      <c r="E961" s="179"/>
      <c r="F961" s="94"/>
      <c r="G961" s="94"/>
      <c r="H961" s="94"/>
      <c r="I961" s="94"/>
      <c r="J961" s="94"/>
      <c r="K961" s="94"/>
      <c r="L961" s="94"/>
      <c r="M961" s="94"/>
      <c r="N961" s="94"/>
      <c r="O961" s="94"/>
      <c r="P961" s="94"/>
      <c r="Q961" s="94"/>
      <c r="R961" s="94"/>
      <c r="S961" s="94"/>
      <c r="T961" s="94"/>
      <c r="U961" s="94"/>
      <c r="V961" s="94"/>
      <c r="W961" s="94"/>
      <c r="X961" s="94"/>
      <c r="Y961" s="38"/>
    </row>
    <row r="962" spans="1:25" ht="15.75" customHeight="1">
      <c r="A962" s="94"/>
      <c r="B962" s="94"/>
      <c r="C962" s="94"/>
      <c r="D962" s="94"/>
      <c r="E962" s="179"/>
      <c r="F962" s="94"/>
      <c r="G962" s="94"/>
      <c r="H962" s="94"/>
      <c r="I962" s="94"/>
      <c r="J962" s="94"/>
      <c r="K962" s="94"/>
      <c r="L962" s="94"/>
      <c r="M962" s="94"/>
      <c r="N962" s="94"/>
      <c r="O962" s="94"/>
      <c r="P962" s="94"/>
      <c r="Q962" s="94"/>
      <c r="R962" s="94"/>
      <c r="S962" s="94"/>
      <c r="T962" s="94"/>
      <c r="U962" s="94"/>
      <c r="V962" s="94"/>
      <c r="W962" s="94"/>
      <c r="X962" s="94"/>
      <c r="Y962" s="38"/>
    </row>
    <row r="963" spans="1:25" ht="15.75" customHeight="1">
      <c r="A963" s="94"/>
      <c r="B963" s="94"/>
      <c r="C963" s="94"/>
      <c r="D963" s="94"/>
      <c r="E963" s="179"/>
      <c r="F963" s="94"/>
      <c r="G963" s="94"/>
      <c r="H963" s="94"/>
      <c r="I963" s="94"/>
      <c r="J963" s="94"/>
      <c r="K963" s="94"/>
      <c r="L963" s="94"/>
      <c r="M963" s="94"/>
      <c r="N963" s="94"/>
      <c r="O963" s="94"/>
      <c r="P963" s="94"/>
      <c r="Q963" s="94"/>
      <c r="R963" s="94"/>
      <c r="S963" s="94"/>
      <c r="T963" s="94"/>
      <c r="U963" s="94"/>
      <c r="V963" s="94"/>
      <c r="W963" s="94"/>
      <c r="X963" s="94"/>
      <c r="Y963" s="38"/>
    </row>
    <row r="964" spans="1:25" ht="15.75" customHeight="1">
      <c r="A964" s="94"/>
      <c r="B964" s="94"/>
      <c r="C964" s="94"/>
      <c r="D964" s="94"/>
      <c r="E964" s="179"/>
      <c r="F964" s="94"/>
      <c r="G964" s="94"/>
      <c r="H964" s="94"/>
      <c r="I964" s="94"/>
      <c r="J964" s="94"/>
      <c r="K964" s="94"/>
      <c r="L964" s="94"/>
      <c r="M964" s="94"/>
      <c r="N964" s="94"/>
      <c r="O964" s="94"/>
      <c r="P964" s="94"/>
      <c r="Q964" s="94"/>
      <c r="R964" s="94"/>
      <c r="S964" s="94"/>
      <c r="T964" s="94"/>
      <c r="U964" s="94"/>
      <c r="V964" s="94"/>
      <c r="W964" s="94"/>
      <c r="X964" s="94"/>
      <c r="Y964" s="38"/>
    </row>
    <row r="965" spans="1:25" ht="15.75" customHeight="1">
      <c r="A965" s="94"/>
      <c r="B965" s="94"/>
      <c r="C965" s="94"/>
      <c r="D965" s="94"/>
      <c r="E965" s="179"/>
      <c r="F965" s="94"/>
      <c r="G965" s="94"/>
      <c r="H965" s="94"/>
      <c r="I965" s="94"/>
      <c r="J965" s="94"/>
      <c r="K965" s="94"/>
      <c r="L965" s="94"/>
      <c r="M965" s="94"/>
      <c r="N965" s="94"/>
      <c r="O965" s="94"/>
      <c r="P965" s="94"/>
      <c r="Q965" s="94"/>
      <c r="R965" s="94"/>
      <c r="S965" s="94"/>
      <c r="T965" s="94"/>
      <c r="U965" s="94"/>
      <c r="V965" s="94"/>
      <c r="W965" s="94"/>
      <c r="X965" s="94"/>
      <c r="Y965" s="38"/>
    </row>
    <row r="966" spans="1:25" ht="15.75" customHeight="1">
      <c r="A966" s="94"/>
      <c r="B966" s="94"/>
      <c r="C966" s="94"/>
      <c r="D966" s="94"/>
      <c r="E966" s="179"/>
      <c r="F966" s="94"/>
      <c r="G966" s="94"/>
      <c r="H966" s="94"/>
      <c r="I966" s="94"/>
      <c r="J966" s="94"/>
      <c r="K966" s="94"/>
      <c r="L966" s="94"/>
      <c r="M966" s="94"/>
      <c r="N966" s="94"/>
      <c r="O966" s="94"/>
      <c r="P966" s="94"/>
      <c r="Q966" s="94"/>
      <c r="R966" s="94"/>
      <c r="S966" s="94"/>
      <c r="T966" s="94"/>
      <c r="U966" s="94"/>
      <c r="V966" s="94"/>
      <c r="W966" s="94"/>
      <c r="X966" s="94"/>
      <c r="Y966" s="38"/>
    </row>
    <row r="967" spans="1:25" ht="15.75" customHeight="1">
      <c r="A967" s="94"/>
      <c r="B967" s="94"/>
      <c r="C967" s="94"/>
      <c r="D967" s="94"/>
      <c r="E967" s="179"/>
      <c r="F967" s="94"/>
      <c r="G967" s="94"/>
      <c r="H967" s="94"/>
      <c r="I967" s="94"/>
      <c r="J967" s="94"/>
      <c r="K967" s="94"/>
      <c r="L967" s="94"/>
      <c r="M967" s="94"/>
      <c r="N967" s="94"/>
      <c r="O967" s="94"/>
      <c r="P967" s="94"/>
      <c r="Q967" s="94"/>
      <c r="R967" s="94"/>
      <c r="S967" s="94"/>
      <c r="T967" s="94"/>
      <c r="U967" s="94"/>
      <c r="V967" s="94"/>
      <c r="W967" s="94"/>
      <c r="X967" s="94"/>
      <c r="Y967" s="38"/>
    </row>
    <row r="968" spans="1:25" ht="15.75" customHeight="1">
      <c r="A968" s="94"/>
      <c r="B968" s="94"/>
      <c r="C968" s="94"/>
      <c r="D968" s="94"/>
      <c r="E968" s="179"/>
      <c r="F968" s="94"/>
      <c r="G968" s="94"/>
      <c r="H968" s="94"/>
      <c r="I968" s="94"/>
      <c r="J968" s="94"/>
      <c r="K968" s="94"/>
      <c r="L968" s="94"/>
      <c r="M968" s="94"/>
      <c r="N968" s="94"/>
      <c r="O968" s="94"/>
      <c r="P968" s="94"/>
      <c r="Q968" s="94"/>
      <c r="R968" s="94"/>
      <c r="S968" s="94"/>
      <c r="T968" s="94"/>
      <c r="U968" s="94"/>
      <c r="V968" s="94"/>
      <c r="W968" s="94"/>
      <c r="X968" s="94"/>
      <c r="Y968" s="38"/>
    </row>
    <row r="969" spans="1:25" ht="15.75" customHeight="1">
      <c r="A969" s="94"/>
      <c r="B969" s="94"/>
      <c r="C969" s="94"/>
      <c r="D969" s="94"/>
      <c r="E969" s="179"/>
      <c r="F969" s="94"/>
      <c r="G969" s="94"/>
      <c r="H969" s="94"/>
      <c r="I969" s="94"/>
      <c r="J969" s="94"/>
      <c r="K969" s="94"/>
      <c r="L969" s="94"/>
      <c r="M969" s="94"/>
      <c r="N969" s="94"/>
      <c r="O969" s="94"/>
      <c r="P969" s="94"/>
      <c r="Q969" s="94"/>
      <c r="R969" s="94"/>
      <c r="S969" s="94"/>
      <c r="T969" s="94"/>
      <c r="U969" s="94"/>
      <c r="V969" s="94"/>
      <c r="W969" s="94"/>
      <c r="X969" s="94"/>
      <c r="Y969" s="38"/>
    </row>
    <row r="970" spans="1:25" ht="15.75" customHeight="1">
      <c r="A970" s="94"/>
      <c r="B970" s="94"/>
      <c r="C970" s="94"/>
      <c r="D970" s="94"/>
      <c r="E970" s="179"/>
      <c r="F970" s="94"/>
      <c r="G970" s="94"/>
      <c r="H970" s="94"/>
      <c r="I970" s="94"/>
      <c r="J970" s="94"/>
      <c r="K970" s="94"/>
      <c r="L970" s="94"/>
      <c r="M970" s="94"/>
      <c r="N970" s="94"/>
      <c r="O970" s="94"/>
      <c r="P970" s="94"/>
      <c r="Q970" s="94"/>
      <c r="R970" s="94"/>
      <c r="S970" s="94"/>
      <c r="T970" s="94"/>
      <c r="U970" s="94"/>
      <c r="V970" s="94"/>
      <c r="W970" s="94"/>
      <c r="X970" s="94"/>
      <c r="Y970" s="38"/>
    </row>
    <row r="971" spans="1:25" ht="15.75" customHeight="1">
      <c r="A971" s="94"/>
      <c r="B971" s="94"/>
      <c r="C971" s="94"/>
      <c r="D971" s="94"/>
      <c r="E971" s="179"/>
      <c r="F971" s="94"/>
      <c r="G971" s="94"/>
      <c r="H971" s="94"/>
      <c r="I971" s="94"/>
      <c r="J971" s="94"/>
      <c r="K971" s="94"/>
      <c r="L971" s="94"/>
      <c r="M971" s="94"/>
      <c r="N971" s="94"/>
      <c r="O971" s="94"/>
      <c r="P971" s="94"/>
      <c r="Q971" s="94"/>
      <c r="R971" s="94"/>
      <c r="S971" s="94"/>
      <c r="T971" s="94"/>
      <c r="U971" s="94"/>
      <c r="V971" s="94"/>
      <c r="W971" s="94"/>
      <c r="X971" s="94"/>
      <c r="Y971" s="38"/>
    </row>
    <row r="972" spans="1:25" ht="15.75" customHeight="1">
      <c r="A972" s="94"/>
      <c r="B972" s="94"/>
      <c r="C972" s="94"/>
      <c r="D972" s="94"/>
      <c r="E972" s="179"/>
      <c r="F972" s="94"/>
      <c r="G972" s="94"/>
      <c r="H972" s="94"/>
      <c r="I972" s="94"/>
      <c r="J972" s="94"/>
      <c r="K972" s="94"/>
      <c r="L972" s="94"/>
      <c r="M972" s="94"/>
      <c r="N972" s="94"/>
      <c r="O972" s="94"/>
      <c r="P972" s="94"/>
      <c r="Q972" s="94"/>
      <c r="R972" s="94"/>
      <c r="S972" s="94"/>
      <c r="T972" s="94"/>
      <c r="U972" s="94"/>
      <c r="V972" s="94"/>
      <c r="W972" s="94"/>
      <c r="X972" s="94"/>
      <c r="Y972" s="38"/>
    </row>
    <row r="973" spans="1:25" ht="15.75">
      <c r="E973" s="179"/>
    </row>
    <row r="974" spans="1:25" ht="15.75">
      <c r="E974" s="179"/>
    </row>
    <row r="975" spans="1:25" ht="15.75">
      <c r="E975" s="179"/>
    </row>
    <row r="976" spans="1:25" ht="15.75">
      <c r="E976" s="179"/>
    </row>
    <row r="977" spans="5:5" ht="15.75">
      <c r="E977" s="179"/>
    </row>
    <row r="978" spans="5:5" ht="15.75">
      <c r="E978" s="179"/>
    </row>
    <row r="979" spans="5:5" ht="15.75">
      <c r="E979" s="179"/>
    </row>
    <row r="980" spans="5:5" ht="15.75">
      <c r="E980" s="179"/>
    </row>
    <row r="981" spans="5:5" ht="15.75">
      <c r="E981" s="179"/>
    </row>
    <row r="982" spans="5:5" ht="15.75">
      <c r="E982" s="179"/>
    </row>
    <row r="983" spans="5:5" ht="15.75">
      <c r="E983" s="179"/>
    </row>
    <row r="984" spans="5:5" ht="15.75">
      <c r="E984" s="179"/>
    </row>
    <row r="985" spans="5:5" ht="15.75">
      <c r="E985" s="179"/>
    </row>
    <row r="986" spans="5:5" ht="15.75">
      <c r="E986" s="179"/>
    </row>
    <row r="987" spans="5:5" ht="15.75">
      <c r="E987" s="179"/>
    </row>
    <row r="988" spans="5:5" ht="15.75">
      <c r="E988" s="179"/>
    </row>
    <row r="989" spans="5:5" ht="15.75">
      <c r="E989" s="179"/>
    </row>
    <row r="990" spans="5:5" ht="15.75">
      <c r="E990" s="179"/>
    </row>
    <row r="991" spans="5:5" ht="15.75">
      <c r="E991" s="179"/>
    </row>
    <row r="992" spans="5:5" ht="15.75">
      <c r="E992" s="179"/>
    </row>
    <row r="993" spans="5:5" ht="15.75">
      <c r="E993" s="179"/>
    </row>
    <row r="994" spans="5:5" ht="15.75">
      <c r="E994" s="179"/>
    </row>
    <row r="995" spans="5:5" ht="15.75">
      <c r="E995" s="179"/>
    </row>
    <row r="996" spans="5:5" ht="15.75">
      <c r="E996" s="179"/>
    </row>
    <row r="997" spans="5:5" ht="15.75">
      <c r="E997" s="179"/>
    </row>
    <row r="998" spans="5:5" ht="15.75">
      <c r="E998" s="179"/>
    </row>
    <row r="999" spans="5:5" ht="15.75">
      <c r="E999" s="179"/>
    </row>
    <row r="1000" spans="5:5" ht="15.75">
      <c r="E1000" s="179"/>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ummaryRight="0"/>
  </sheetPr>
  <dimension ref="A1:Z972"/>
  <sheetViews>
    <sheetView workbookViewId="0">
      <pane xSplit="5" ySplit="5" topLeftCell="F203" activePane="bottomRight" state="frozen"/>
      <selection pane="topRight" activeCell="F1" sqref="F1"/>
      <selection pane="bottomLeft" activeCell="A6" sqref="A6"/>
      <selection pane="bottomRight" activeCell="Y203" sqref="Y203"/>
    </sheetView>
  </sheetViews>
  <sheetFormatPr defaultColWidth="14.42578125" defaultRowHeight="15" customHeight="1"/>
  <cols>
    <col min="1" max="1" width="5.140625" customWidth="1"/>
    <col min="2" max="2" width="7" customWidth="1"/>
    <col min="3" max="3" width="8.7109375" customWidth="1"/>
    <col min="4" max="4" width="8.140625" customWidth="1"/>
    <col min="5" max="5" width="15.28515625" customWidth="1"/>
    <col min="6" max="6" width="9.28515625" customWidth="1"/>
    <col min="7" max="7" width="7.5703125" hidden="1" customWidth="1"/>
    <col min="8" max="8" width="8.42578125" customWidth="1"/>
    <col min="9" max="9" width="8.7109375" customWidth="1"/>
    <col min="10" max="10" width="9.7109375" customWidth="1"/>
    <col min="11" max="11" width="8.42578125" hidden="1" customWidth="1"/>
    <col min="12" max="12" width="7.140625" customWidth="1"/>
    <col min="13" max="13" width="23.28515625" hidden="1" customWidth="1"/>
    <col min="14" max="14" width="9" customWidth="1"/>
    <col min="15" max="15" width="10.140625" customWidth="1"/>
    <col min="16" max="16" width="9.28515625" customWidth="1"/>
    <col min="17" max="17" width="31.28515625" hidden="1" customWidth="1"/>
    <col min="18" max="18" width="9.5703125" customWidth="1"/>
    <col min="19" max="19" width="13" hidden="1" customWidth="1"/>
    <col min="20" max="20" width="12" customWidth="1"/>
    <col min="21" max="21" width="13.140625" hidden="1" customWidth="1"/>
    <col min="22" max="22" width="9.85546875" customWidth="1"/>
    <col min="23" max="23" width="10.85546875" customWidth="1"/>
    <col min="24" max="24" width="9.42578125" customWidth="1"/>
    <col min="25" max="25" width="42.5703125" style="408" customWidth="1"/>
    <col min="26" max="26" width="0" hidden="1" customWidth="1"/>
  </cols>
  <sheetData>
    <row r="1" spans="1:25" ht="27.75" customHeight="1">
      <c r="A1" s="7"/>
      <c r="B1" s="1"/>
      <c r="C1" s="1"/>
      <c r="D1" s="2"/>
      <c r="E1" s="509" t="s">
        <v>558</v>
      </c>
      <c r="F1" s="510"/>
      <c r="G1" s="510"/>
      <c r="H1" s="510"/>
      <c r="I1" s="510"/>
      <c r="J1" s="510"/>
      <c r="K1" s="510"/>
      <c r="L1" s="510"/>
      <c r="M1" s="3"/>
      <c r="N1" s="3"/>
      <c r="O1" s="4"/>
      <c r="P1" s="4"/>
      <c r="Q1" s="4"/>
      <c r="R1" s="4"/>
      <c r="S1" s="4"/>
      <c r="T1" s="4"/>
      <c r="U1" s="4"/>
      <c r="V1" s="4"/>
      <c r="W1" s="4"/>
      <c r="X1" s="4"/>
      <c r="Y1" s="2"/>
    </row>
    <row r="2" spans="1:25" ht="37.5" customHeight="1">
      <c r="A2" s="4"/>
      <c r="B2" s="4"/>
      <c r="C2" s="4"/>
      <c r="D2" s="4"/>
      <c r="E2" s="4"/>
      <c r="F2" s="4"/>
      <c r="G2" s="4"/>
      <c r="H2" s="4"/>
      <c r="I2" s="4"/>
      <c r="J2" s="4"/>
      <c r="K2" s="4"/>
      <c r="L2" s="4"/>
      <c r="M2" s="4"/>
      <c r="N2" s="4"/>
      <c r="O2" s="4"/>
      <c r="P2" s="4"/>
      <c r="Q2" s="4"/>
      <c r="R2" s="4"/>
      <c r="S2" s="4"/>
      <c r="T2" s="4"/>
      <c r="U2" s="4"/>
      <c r="V2" s="4"/>
      <c r="W2" s="4"/>
      <c r="X2" s="4"/>
      <c r="Y2" s="2"/>
    </row>
    <row r="3" spans="1:25" ht="22.5" customHeight="1">
      <c r="A3" s="4"/>
      <c r="B3" s="338"/>
      <c r="C3" s="338"/>
      <c r="D3" s="338"/>
      <c r="E3" s="338" t="s">
        <v>392</v>
      </c>
      <c r="F3" s="338"/>
      <c r="G3" s="338"/>
      <c r="H3" s="338"/>
      <c r="I3" s="338"/>
      <c r="J3" s="338"/>
      <c r="K3" s="338"/>
      <c r="L3" s="338"/>
      <c r="M3" s="338"/>
      <c r="N3" s="338"/>
      <c r="O3" s="338"/>
      <c r="P3" s="338"/>
      <c r="Q3" s="338"/>
      <c r="R3" s="338"/>
      <c r="S3" s="338"/>
      <c r="T3" s="338"/>
      <c r="U3" s="338"/>
      <c r="V3" s="338"/>
      <c r="W3" s="339"/>
      <c r="X3" s="506" t="s">
        <v>2</v>
      </c>
      <c r="Y3" s="507"/>
    </row>
    <row r="4" spans="1:25" ht="40.5"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82" t="s">
        <v>16</v>
      </c>
    </row>
    <row r="5" spans="1:25" ht="107.2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508"/>
    </row>
    <row r="6" spans="1:25" ht="39" customHeight="1">
      <c r="A6" s="477" t="s">
        <v>24</v>
      </c>
      <c r="B6" s="476" t="s">
        <v>25</v>
      </c>
      <c r="C6" s="476" t="s">
        <v>26</v>
      </c>
      <c r="D6" s="106">
        <v>1</v>
      </c>
      <c r="E6" s="223" t="s">
        <v>27</v>
      </c>
      <c r="F6" s="116"/>
      <c r="G6" s="116"/>
      <c r="H6" s="116"/>
      <c r="I6" s="116"/>
      <c r="J6" s="116">
        <f t="shared" ref="J6:J39" si="0">H6+I6</f>
        <v>0</v>
      </c>
      <c r="K6" s="116"/>
      <c r="L6" s="116"/>
      <c r="M6" s="116"/>
      <c r="N6" s="116"/>
      <c r="O6" s="116"/>
      <c r="P6" s="116">
        <f t="shared" ref="P6:P67" si="1">N6+O6</f>
        <v>0</v>
      </c>
      <c r="Q6" s="116"/>
      <c r="R6" s="116"/>
      <c r="S6" s="116"/>
      <c r="T6" s="116"/>
      <c r="U6" s="116"/>
      <c r="V6" s="116"/>
      <c r="W6" s="117"/>
      <c r="X6" s="117">
        <f t="shared" ref="X6:X217" si="2">F6+J6+L6+P6+R6+T6+V6</f>
        <v>0</v>
      </c>
      <c r="Y6" s="172"/>
    </row>
    <row r="7" spans="1:25" ht="78.75">
      <c r="A7" s="469"/>
      <c r="B7" s="469"/>
      <c r="C7" s="469"/>
      <c r="D7" s="106">
        <v>2</v>
      </c>
      <c r="E7" s="115" t="s">
        <v>28</v>
      </c>
      <c r="F7" s="116"/>
      <c r="G7" s="116"/>
      <c r="H7" s="116"/>
      <c r="I7" s="116"/>
      <c r="J7" s="116">
        <f t="shared" si="0"/>
        <v>0</v>
      </c>
      <c r="K7" s="116"/>
      <c r="L7" s="116"/>
      <c r="M7" s="116"/>
      <c r="N7" s="116"/>
      <c r="O7" s="119"/>
      <c r="P7" s="117">
        <f t="shared" si="1"/>
        <v>0</v>
      </c>
      <c r="Q7" s="120"/>
      <c r="R7" s="120"/>
      <c r="S7" s="121"/>
      <c r="T7" s="121"/>
      <c r="U7" s="116"/>
      <c r="V7" s="116"/>
      <c r="W7" s="117"/>
      <c r="X7" s="117">
        <f t="shared" si="2"/>
        <v>0</v>
      </c>
      <c r="Y7" s="172"/>
    </row>
    <row r="8" spans="1:25" ht="180.75" customHeight="1">
      <c r="A8" s="469"/>
      <c r="B8" s="469"/>
      <c r="C8" s="469"/>
      <c r="D8" s="106">
        <v>3</v>
      </c>
      <c r="E8" s="106" t="s">
        <v>29</v>
      </c>
      <c r="F8" s="121">
        <v>75.977850000000004</v>
      </c>
      <c r="G8" s="120"/>
      <c r="H8" s="120"/>
      <c r="I8" s="120"/>
      <c r="J8" s="116">
        <f t="shared" si="0"/>
        <v>0</v>
      </c>
      <c r="K8" s="120"/>
      <c r="L8" s="120"/>
      <c r="M8" s="120"/>
      <c r="N8" s="120"/>
      <c r="O8" s="120"/>
      <c r="P8" s="116">
        <f t="shared" si="1"/>
        <v>0</v>
      </c>
      <c r="Q8" s="120"/>
      <c r="R8" s="120"/>
      <c r="S8" s="120"/>
      <c r="T8" s="120"/>
      <c r="U8" s="116"/>
      <c r="V8" s="116"/>
      <c r="W8" s="117"/>
      <c r="X8" s="117">
        <f t="shared" si="2"/>
        <v>75.977850000000004</v>
      </c>
      <c r="Y8" s="172" t="s">
        <v>865</v>
      </c>
    </row>
    <row r="9" spans="1:25" ht="409.5">
      <c r="A9" s="469"/>
      <c r="B9" s="469"/>
      <c r="C9" s="469"/>
      <c r="D9" s="106">
        <v>4</v>
      </c>
      <c r="E9" s="106" t="s">
        <v>30</v>
      </c>
      <c r="F9" s="116"/>
      <c r="G9" s="116"/>
      <c r="H9" s="116"/>
      <c r="I9" s="116"/>
      <c r="J9" s="116">
        <f t="shared" si="0"/>
        <v>0</v>
      </c>
      <c r="K9" s="116"/>
      <c r="L9" s="116"/>
      <c r="M9" s="116"/>
      <c r="N9" s="116"/>
      <c r="O9" s="390">
        <v>102.0925</v>
      </c>
      <c r="P9" s="116">
        <f t="shared" si="1"/>
        <v>102.0925</v>
      </c>
      <c r="Q9" s="122"/>
      <c r="R9" s="391">
        <v>95.376000000000005</v>
      </c>
      <c r="S9" s="121"/>
      <c r="T9" s="121">
        <v>137.69900000000001</v>
      </c>
      <c r="U9" s="120"/>
      <c r="V9" s="120"/>
      <c r="W9" s="117"/>
      <c r="X9" s="117">
        <f t="shared" si="2"/>
        <v>335.16750000000002</v>
      </c>
      <c r="Y9" s="172" t="s">
        <v>866</v>
      </c>
    </row>
    <row r="10" spans="1:25" ht="83.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78.435000000000002</v>
      </c>
      <c r="U10" s="120"/>
      <c r="V10" s="120"/>
      <c r="W10" s="117"/>
      <c r="X10" s="117">
        <f t="shared" si="2"/>
        <v>78.435000000000002</v>
      </c>
      <c r="Y10" s="172" t="s">
        <v>867</v>
      </c>
    </row>
    <row r="11" spans="1:25" ht="220.5">
      <c r="A11" s="469"/>
      <c r="B11" s="469"/>
      <c r="C11" s="469"/>
      <c r="D11" s="106">
        <v>6</v>
      </c>
      <c r="E11" s="106" t="s">
        <v>32</v>
      </c>
      <c r="F11" s="120">
        <v>1.31</v>
      </c>
      <c r="G11" s="120"/>
      <c r="H11" s="120"/>
      <c r="I11" s="120"/>
      <c r="J11" s="116">
        <f t="shared" si="0"/>
        <v>0</v>
      </c>
      <c r="K11" s="120"/>
      <c r="L11" s="120"/>
      <c r="M11" s="120"/>
      <c r="N11" s="120"/>
      <c r="O11" s="120"/>
      <c r="P11" s="116">
        <f t="shared" si="1"/>
        <v>0</v>
      </c>
      <c r="Q11" s="120"/>
      <c r="R11" s="120"/>
      <c r="S11" s="121"/>
      <c r="T11" s="124">
        <v>0.74</v>
      </c>
      <c r="U11" s="120"/>
      <c r="V11" s="120"/>
      <c r="W11" s="117"/>
      <c r="X11" s="117">
        <f t="shared" si="2"/>
        <v>2.0499999999999998</v>
      </c>
      <c r="Y11" s="172" t="s">
        <v>868</v>
      </c>
    </row>
    <row r="12" spans="1:25" ht="63">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172"/>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172"/>
    </row>
    <row r="14" spans="1:25" ht="54.7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0.13</v>
      </c>
      <c r="U14" s="121"/>
      <c r="V14" s="121"/>
      <c r="W14" s="117"/>
      <c r="X14" s="117">
        <f t="shared" si="2"/>
        <v>0.13</v>
      </c>
      <c r="Y14" s="172" t="s">
        <v>860</v>
      </c>
    </row>
    <row r="15" spans="1:25" ht="47.2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172"/>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172"/>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172"/>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172"/>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172"/>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172"/>
    </row>
    <row r="21" spans="1:25" ht="36.75" hidden="1"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172"/>
    </row>
    <row r="22" spans="1:25" ht="31.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172"/>
    </row>
    <row r="23" spans="1:25" ht="63" hidden="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172"/>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172"/>
    </row>
    <row r="25" spans="1:25" ht="126">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172"/>
    </row>
    <row r="26" spans="1:25" ht="141.75">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20.795999999999999</v>
      </c>
      <c r="U26" s="128"/>
      <c r="V26" s="120"/>
      <c r="W26" s="117"/>
      <c r="X26" s="117">
        <f t="shared" si="2"/>
        <v>20.795999999999999</v>
      </c>
      <c r="Y26" s="172" t="s">
        <v>393</v>
      </c>
    </row>
    <row r="27" spans="1:25" ht="173.25">
      <c r="A27" s="469"/>
      <c r="B27" s="469"/>
      <c r="C27" s="469"/>
      <c r="D27" s="106">
        <v>22</v>
      </c>
      <c r="E27" s="106" t="s">
        <v>52</v>
      </c>
      <c r="F27" s="121"/>
      <c r="G27" s="120"/>
      <c r="H27" s="120"/>
      <c r="I27" s="121"/>
      <c r="J27" s="125">
        <f t="shared" si="0"/>
        <v>0</v>
      </c>
      <c r="K27" s="129"/>
      <c r="L27" s="129">
        <v>1.3205</v>
      </c>
      <c r="M27" s="115"/>
      <c r="N27" s="120"/>
      <c r="O27" s="120"/>
      <c r="P27" s="116">
        <f t="shared" si="1"/>
        <v>0</v>
      </c>
      <c r="Q27" s="121"/>
      <c r="R27" s="121">
        <v>1</v>
      </c>
      <c r="S27" s="125"/>
      <c r="T27" s="121">
        <v>282.04599999999999</v>
      </c>
      <c r="U27" s="115"/>
      <c r="V27" s="120"/>
      <c r="W27" s="117"/>
      <c r="X27" s="117">
        <f t="shared" si="2"/>
        <v>284.36649999999997</v>
      </c>
      <c r="Y27" s="172" t="s">
        <v>771</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150"/>
    </row>
    <row r="29" spans="1:25" ht="189">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4.5999999999999996</v>
      </c>
      <c r="U29" s="298"/>
      <c r="V29" s="120"/>
      <c r="W29" s="117"/>
      <c r="X29" s="117">
        <f t="shared" si="2"/>
        <v>4.5999999999999996</v>
      </c>
      <c r="Y29" s="172" t="s">
        <v>772</v>
      </c>
    </row>
    <row r="30" spans="1:25" ht="393.7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0.59399999999999997</v>
      </c>
      <c r="U30" s="115"/>
      <c r="V30" s="120"/>
      <c r="W30" s="117"/>
      <c r="X30" s="117">
        <f t="shared" si="2"/>
        <v>0.59399999999999997</v>
      </c>
      <c r="Y30" s="172" t="s">
        <v>773</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172"/>
    </row>
    <row r="32" spans="1:25" ht="83.25" customHeight="1">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2</v>
      </c>
      <c r="U32" s="131"/>
      <c r="V32" s="120"/>
      <c r="W32" s="117"/>
      <c r="X32" s="117">
        <f t="shared" si="2"/>
        <v>2</v>
      </c>
      <c r="Y32" s="98" t="s">
        <v>795</v>
      </c>
    </row>
    <row r="33" spans="1:25" ht="102" customHeight="1">
      <c r="A33" s="469"/>
      <c r="B33" s="469"/>
      <c r="C33" s="469"/>
      <c r="D33" s="106">
        <v>28</v>
      </c>
      <c r="E33" s="106" t="s">
        <v>30</v>
      </c>
      <c r="F33" s="120"/>
      <c r="G33" s="120"/>
      <c r="H33" s="120"/>
      <c r="I33" s="120"/>
      <c r="J33" s="116">
        <f t="shared" si="0"/>
        <v>0</v>
      </c>
      <c r="K33" s="120"/>
      <c r="L33" s="120"/>
      <c r="M33" s="120"/>
      <c r="N33" s="120"/>
      <c r="O33" s="122">
        <v>11.0154</v>
      </c>
      <c r="P33" s="117">
        <f t="shared" si="1"/>
        <v>11.0154</v>
      </c>
      <c r="Q33" s="97"/>
      <c r="R33" s="122">
        <v>11.0154</v>
      </c>
      <c r="S33" s="97"/>
      <c r="T33" s="120"/>
      <c r="U33" s="120"/>
      <c r="V33" s="120"/>
      <c r="W33" s="117"/>
      <c r="X33" s="117">
        <f t="shared" si="2"/>
        <v>22.030799999999999</v>
      </c>
      <c r="Y33" s="98" t="s">
        <v>774</v>
      </c>
    </row>
    <row r="34" spans="1:25" ht="48" customHeight="1">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38.553899999999999</v>
      </c>
      <c r="U34" s="97"/>
      <c r="V34" s="120"/>
      <c r="W34" s="117"/>
      <c r="X34" s="117">
        <f t="shared" si="2"/>
        <v>38.553899999999999</v>
      </c>
      <c r="Y34" s="172" t="s">
        <v>775</v>
      </c>
    </row>
    <row r="35" spans="1:25" ht="47.2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172"/>
    </row>
    <row r="36" spans="1:25" ht="63"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172"/>
    </row>
    <row r="37" spans="1:25" ht="409.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17.689800000000002</v>
      </c>
      <c r="U37" s="122"/>
      <c r="V37" s="122"/>
      <c r="W37" s="117"/>
      <c r="X37" s="117">
        <f t="shared" si="2"/>
        <v>17.689800000000002</v>
      </c>
      <c r="Y37" s="172" t="s">
        <v>1171</v>
      </c>
    </row>
    <row r="38" spans="1:25" ht="35.25" customHeight="1">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172"/>
    </row>
    <row r="39" spans="1:25" ht="39.75"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172"/>
    </row>
    <row r="40" spans="1:25" ht="173.25">
      <c r="A40" s="469"/>
      <c r="B40" s="476" t="s">
        <v>66</v>
      </c>
      <c r="C40" s="476" t="s">
        <v>67</v>
      </c>
      <c r="D40" s="106">
        <v>35</v>
      </c>
      <c r="E40" s="223" t="s">
        <v>68</v>
      </c>
      <c r="F40" s="116"/>
      <c r="G40" s="116"/>
      <c r="H40" s="116"/>
      <c r="I40" s="116"/>
      <c r="J40" s="116"/>
      <c r="K40" s="117"/>
      <c r="L40" s="117"/>
      <c r="M40" s="116"/>
      <c r="N40" s="116"/>
      <c r="O40" s="116"/>
      <c r="P40" s="116">
        <f t="shared" si="1"/>
        <v>0</v>
      </c>
      <c r="Q40" s="116"/>
      <c r="R40" s="116"/>
      <c r="S40" s="125"/>
      <c r="T40" s="125">
        <f>0.6+0.96+0.15</f>
        <v>1.71</v>
      </c>
      <c r="U40" s="116"/>
      <c r="V40" s="116"/>
      <c r="W40" s="117"/>
      <c r="X40" s="117">
        <f t="shared" si="2"/>
        <v>1.71</v>
      </c>
      <c r="Y40" s="172" t="s">
        <v>394</v>
      </c>
    </row>
    <row r="41" spans="1:25" ht="63">
      <c r="A41" s="469"/>
      <c r="B41" s="469"/>
      <c r="C41" s="469"/>
      <c r="D41" s="106">
        <v>36</v>
      </c>
      <c r="E41" s="223" t="s">
        <v>70</v>
      </c>
      <c r="F41" s="116"/>
      <c r="G41" s="116"/>
      <c r="H41" s="116"/>
      <c r="I41" s="116"/>
      <c r="J41" s="116"/>
      <c r="K41" s="116"/>
      <c r="L41" s="116"/>
      <c r="M41" s="116"/>
      <c r="N41" s="116"/>
      <c r="O41" s="117"/>
      <c r="P41" s="117">
        <f t="shared" si="1"/>
        <v>0</v>
      </c>
      <c r="Q41" s="116"/>
      <c r="R41" s="116"/>
      <c r="S41" s="116"/>
      <c r="T41" s="116"/>
      <c r="U41" s="116"/>
      <c r="V41" s="116"/>
      <c r="W41" s="117"/>
      <c r="X41" s="117">
        <f t="shared" si="2"/>
        <v>0</v>
      </c>
      <c r="Y41" s="172"/>
    </row>
    <row r="42" spans="1:25" ht="47.25">
      <c r="A42" s="469"/>
      <c r="B42" s="469"/>
      <c r="C42" s="469"/>
      <c r="D42" s="106">
        <v>37</v>
      </c>
      <c r="E42" s="106" t="s">
        <v>71</v>
      </c>
      <c r="F42" s="116"/>
      <c r="G42" s="116"/>
      <c r="H42" s="116"/>
      <c r="I42" s="116"/>
      <c r="J42" s="116">
        <f>H42+I42</f>
        <v>0</v>
      </c>
      <c r="K42" s="116"/>
      <c r="L42" s="116"/>
      <c r="M42" s="116"/>
      <c r="N42" s="116"/>
      <c r="O42" s="117"/>
      <c r="P42" s="117">
        <f t="shared" si="1"/>
        <v>0</v>
      </c>
      <c r="Q42" s="116"/>
      <c r="R42" s="116"/>
      <c r="S42" s="116"/>
      <c r="T42" s="116"/>
      <c r="U42" s="116"/>
      <c r="V42" s="116"/>
      <c r="W42" s="117"/>
      <c r="X42" s="117">
        <f t="shared" si="2"/>
        <v>0</v>
      </c>
      <c r="Y42" s="172"/>
    </row>
    <row r="43" spans="1:25" ht="110.25">
      <c r="A43" s="469"/>
      <c r="B43" s="469"/>
      <c r="C43" s="469"/>
      <c r="D43" s="106">
        <v>38</v>
      </c>
      <c r="E43" s="139" t="s">
        <v>72</v>
      </c>
      <c r="F43" s="116"/>
      <c r="G43" s="116"/>
      <c r="H43" s="116"/>
      <c r="I43" s="116"/>
      <c r="J43" s="116"/>
      <c r="K43" s="116"/>
      <c r="L43" s="116"/>
      <c r="M43" s="116"/>
      <c r="N43" s="116"/>
      <c r="O43" s="116"/>
      <c r="P43" s="116">
        <f t="shared" si="1"/>
        <v>0</v>
      </c>
      <c r="Q43" s="116"/>
      <c r="R43" s="116"/>
      <c r="S43" s="125"/>
      <c r="T43" s="125">
        <f>1.2+0.5</f>
        <v>1.7</v>
      </c>
      <c r="U43" s="116"/>
      <c r="V43" s="116"/>
      <c r="W43" s="117"/>
      <c r="X43" s="117">
        <f t="shared" si="2"/>
        <v>1.7</v>
      </c>
      <c r="Y43" s="172" t="s">
        <v>581</v>
      </c>
    </row>
    <row r="44" spans="1:25" ht="94.5">
      <c r="A44" s="469"/>
      <c r="B44" s="469"/>
      <c r="C44" s="469"/>
      <c r="D44" s="106">
        <v>39</v>
      </c>
      <c r="E44" s="106" t="s">
        <v>74</v>
      </c>
      <c r="F44" s="116"/>
      <c r="G44" s="116"/>
      <c r="H44" s="116"/>
      <c r="I44" s="116"/>
      <c r="J44" s="116">
        <f t="shared" ref="J44:J67" si="3">H44+I44</f>
        <v>0</v>
      </c>
      <c r="K44" s="116"/>
      <c r="L44" s="116"/>
      <c r="M44" s="116"/>
      <c r="N44" s="116"/>
      <c r="O44" s="116"/>
      <c r="P44" s="116">
        <f t="shared" si="1"/>
        <v>0</v>
      </c>
      <c r="Q44" s="116"/>
      <c r="R44" s="116"/>
      <c r="S44" s="125"/>
      <c r="T44" s="125"/>
      <c r="U44" s="116"/>
      <c r="V44" s="116"/>
      <c r="W44" s="117"/>
      <c r="X44" s="117">
        <f t="shared" si="2"/>
        <v>0</v>
      </c>
      <c r="Y44" s="172"/>
    </row>
    <row r="45" spans="1:25" ht="78.75">
      <c r="A45" s="469"/>
      <c r="B45" s="469"/>
      <c r="C45" s="469"/>
      <c r="D45" s="106">
        <v>40</v>
      </c>
      <c r="E45" s="106" t="s">
        <v>75</v>
      </c>
      <c r="F45" s="116"/>
      <c r="G45" s="116"/>
      <c r="H45" s="116"/>
      <c r="I45" s="116"/>
      <c r="J45" s="116">
        <f t="shared" si="3"/>
        <v>0</v>
      </c>
      <c r="K45" s="116"/>
      <c r="L45" s="116"/>
      <c r="M45" s="116"/>
      <c r="N45" s="116"/>
      <c r="O45" s="116"/>
      <c r="P45" s="116">
        <f t="shared" si="1"/>
        <v>0</v>
      </c>
      <c r="Q45" s="116"/>
      <c r="R45" s="116"/>
      <c r="S45" s="125" t="s">
        <v>395</v>
      </c>
      <c r="T45" s="125">
        <f>(500*16*15)/100000</f>
        <v>1.2</v>
      </c>
      <c r="U45" s="116"/>
      <c r="V45" s="116"/>
      <c r="W45" s="117"/>
      <c r="X45" s="117">
        <f t="shared" si="2"/>
        <v>1.2</v>
      </c>
      <c r="Y45" s="172" t="s">
        <v>582</v>
      </c>
    </row>
    <row r="46" spans="1:25" ht="63" hidden="1">
      <c r="A46" s="469"/>
      <c r="B46" s="469"/>
      <c r="C46" s="469"/>
      <c r="D46" s="106">
        <v>41</v>
      </c>
      <c r="E46" s="106" t="s">
        <v>44</v>
      </c>
      <c r="F46" s="116"/>
      <c r="G46" s="116"/>
      <c r="H46" s="116"/>
      <c r="I46" s="116"/>
      <c r="J46" s="116">
        <f t="shared" si="3"/>
        <v>0</v>
      </c>
      <c r="K46" s="116"/>
      <c r="L46" s="116"/>
      <c r="M46" s="116"/>
      <c r="N46" s="116"/>
      <c r="O46" s="116"/>
      <c r="P46" s="116">
        <f t="shared" si="1"/>
        <v>0</v>
      </c>
      <c r="Q46" s="116"/>
      <c r="R46" s="116"/>
      <c r="S46" s="116"/>
      <c r="T46" s="116"/>
      <c r="U46" s="116"/>
      <c r="V46" s="116"/>
      <c r="W46" s="117"/>
      <c r="X46" s="117">
        <f t="shared" si="2"/>
        <v>0</v>
      </c>
      <c r="Y46" s="172"/>
    </row>
    <row r="47" spans="1:25" ht="63">
      <c r="A47" s="469"/>
      <c r="B47" s="476" t="s">
        <v>76</v>
      </c>
      <c r="C47" s="476" t="s">
        <v>77</v>
      </c>
      <c r="D47" s="106">
        <v>42</v>
      </c>
      <c r="E47" s="106" t="s">
        <v>78</v>
      </c>
      <c r="F47" s="121">
        <v>10.538</v>
      </c>
      <c r="G47" s="120"/>
      <c r="H47" s="120"/>
      <c r="I47" s="120"/>
      <c r="J47" s="116">
        <f t="shared" si="3"/>
        <v>0</v>
      </c>
      <c r="K47" s="122"/>
      <c r="L47" s="122"/>
      <c r="M47" s="120"/>
      <c r="N47" s="120"/>
      <c r="O47" s="120"/>
      <c r="P47" s="116">
        <f t="shared" si="1"/>
        <v>0</v>
      </c>
      <c r="Q47" s="120"/>
      <c r="R47" s="120"/>
      <c r="S47" s="121"/>
      <c r="T47" s="121"/>
      <c r="U47" s="120"/>
      <c r="V47" s="120"/>
      <c r="W47" s="117"/>
      <c r="X47" s="117">
        <f t="shared" si="2"/>
        <v>10.538</v>
      </c>
      <c r="Y47" s="172" t="s">
        <v>948</v>
      </c>
    </row>
    <row r="48" spans="1:25" ht="49.5" customHeight="1">
      <c r="A48" s="469"/>
      <c r="B48" s="469"/>
      <c r="C48" s="469"/>
      <c r="D48" s="106">
        <v>43</v>
      </c>
      <c r="E48" s="106" t="s">
        <v>79</v>
      </c>
      <c r="F48" s="121">
        <v>0.64500000000000002</v>
      </c>
      <c r="G48" s="120"/>
      <c r="H48" s="120"/>
      <c r="I48" s="120"/>
      <c r="J48" s="116">
        <f t="shared" si="3"/>
        <v>0</v>
      </c>
      <c r="K48" s="122"/>
      <c r="L48" s="122"/>
      <c r="M48" s="120"/>
      <c r="N48" s="120"/>
      <c r="O48" s="120"/>
      <c r="P48" s="116">
        <f t="shared" si="1"/>
        <v>0</v>
      </c>
      <c r="Q48" s="120"/>
      <c r="R48" s="120"/>
      <c r="S48" s="121"/>
      <c r="T48" s="121"/>
      <c r="U48" s="120"/>
      <c r="V48" s="120"/>
      <c r="W48" s="117"/>
      <c r="X48" s="117">
        <f t="shared" si="2"/>
        <v>0.64500000000000002</v>
      </c>
      <c r="Y48" s="172" t="s">
        <v>936</v>
      </c>
    </row>
    <row r="49" spans="1:25" ht="63">
      <c r="A49" s="469"/>
      <c r="B49" s="469"/>
      <c r="C49" s="469"/>
      <c r="D49" s="106">
        <v>44</v>
      </c>
      <c r="E49" s="106" t="s">
        <v>80</v>
      </c>
      <c r="F49" s="121">
        <v>1.278</v>
      </c>
      <c r="G49" s="120"/>
      <c r="H49" s="120"/>
      <c r="I49" s="120"/>
      <c r="J49" s="116">
        <f t="shared" si="3"/>
        <v>0</v>
      </c>
      <c r="K49" s="122"/>
      <c r="L49" s="122"/>
      <c r="M49" s="120"/>
      <c r="N49" s="120"/>
      <c r="O49" s="120"/>
      <c r="P49" s="116">
        <f t="shared" si="1"/>
        <v>0</v>
      </c>
      <c r="Q49" s="120"/>
      <c r="R49" s="120"/>
      <c r="S49" s="121"/>
      <c r="T49" s="121"/>
      <c r="U49" s="120"/>
      <c r="V49" s="120"/>
      <c r="W49" s="117"/>
      <c r="X49" s="117">
        <f t="shared" si="2"/>
        <v>1.278</v>
      </c>
      <c r="Y49" s="172" t="s">
        <v>900</v>
      </c>
    </row>
    <row r="50" spans="1:25" ht="78.75">
      <c r="A50" s="469"/>
      <c r="B50" s="469"/>
      <c r="C50" s="469"/>
      <c r="D50" s="106">
        <v>45</v>
      </c>
      <c r="E50" s="106" t="s">
        <v>81</v>
      </c>
      <c r="F50" s="121">
        <v>0.224</v>
      </c>
      <c r="G50" s="120"/>
      <c r="H50" s="120"/>
      <c r="I50" s="120"/>
      <c r="J50" s="116">
        <f t="shared" si="3"/>
        <v>0</v>
      </c>
      <c r="K50" s="120"/>
      <c r="L50" s="120"/>
      <c r="M50" s="120"/>
      <c r="N50" s="120"/>
      <c r="O50" s="120"/>
      <c r="P50" s="116">
        <f t="shared" si="1"/>
        <v>0</v>
      </c>
      <c r="Q50" s="120"/>
      <c r="R50" s="120"/>
      <c r="S50" s="120"/>
      <c r="T50" s="120"/>
      <c r="U50" s="120"/>
      <c r="V50" s="120"/>
      <c r="W50" s="117"/>
      <c r="X50" s="117">
        <f t="shared" si="2"/>
        <v>0.224</v>
      </c>
      <c r="Y50" s="172" t="s">
        <v>901</v>
      </c>
    </row>
    <row r="51" spans="1:25" ht="31.5">
      <c r="A51" s="469"/>
      <c r="B51" s="469"/>
      <c r="C51" s="469"/>
      <c r="D51" s="106">
        <v>46</v>
      </c>
      <c r="E51" s="106" t="s">
        <v>82</v>
      </c>
      <c r="F51" s="120"/>
      <c r="G51" s="120"/>
      <c r="H51" s="120"/>
      <c r="I51" s="120"/>
      <c r="J51" s="116">
        <f t="shared" si="3"/>
        <v>0</v>
      </c>
      <c r="K51" s="120"/>
      <c r="L51" s="120"/>
      <c r="M51" s="120"/>
      <c r="N51" s="120"/>
      <c r="O51" s="120"/>
      <c r="P51" s="116">
        <f t="shared" si="1"/>
        <v>0</v>
      </c>
      <c r="Q51" s="120"/>
      <c r="R51" s="120"/>
      <c r="S51" s="120"/>
      <c r="T51" s="120"/>
      <c r="U51" s="120"/>
      <c r="V51" s="120"/>
      <c r="W51" s="117"/>
      <c r="X51" s="117">
        <f t="shared" si="2"/>
        <v>0</v>
      </c>
      <c r="Y51" s="172"/>
    </row>
    <row r="52" spans="1:25" ht="63">
      <c r="A52" s="469"/>
      <c r="B52" s="469"/>
      <c r="C52" s="469"/>
      <c r="D52" s="106">
        <v>47</v>
      </c>
      <c r="E52" s="106" t="s">
        <v>83</v>
      </c>
      <c r="F52" s="121"/>
      <c r="G52" s="120"/>
      <c r="H52" s="120"/>
      <c r="I52" s="120"/>
      <c r="J52" s="116">
        <f t="shared" si="3"/>
        <v>0</v>
      </c>
      <c r="K52" s="120"/>
      <c r="L52" s="120"/>
      <c r="M52" s="120"/>
      <c r="N52" s="120"/>
      <c r="O52" s="120"/>
      <c r="P52" s="116">
        <f t="shared" si="1"/>
        <v>0</v>
      </c>
      <c r="Q52" s="120"/>
      <c r="R52" s="120"/>
      <c r="S52" s="120"/>
      <c r="T52" s="120"/>
      <c r="U52" s="120"/>
      <c r="V52" s="120"/>
      <c r="W52" s="117"/>
      <c r="X52" s="117">
        <f t="shared" si="2"/>
        <v>0</v>
      </c>
      <c r="Y52" s="172"/>
    </row>
    <row r="53" spans="1:25" ht="15.75">
      <c r="A53" s="469"/>
      <c r="B53" s="469"/>
      <c r="C53" s="469"/>
      <c r="D53" s="106">
        <v>48</v>
      </c>
      <c r="E53" s="106" t="s">
        <v>84</v>
      </c>
      <c r="F53" s="120"/>
      <c r="G53" s="120"/>
      <c r="H53" s="120"/>
      <c r="I53" s="120"/>
      <c r="J53" s="116">
        <f t="shared" si="3"/>
        <v>0</v>
      </c>
      <c r="K53" s="120"/>
      <c r="L53" s="120"/>
      <c r="M53" s="120"/>
      <c r="N53" s="120"/>
      <c r="O53" s="120"/>
      <c r="P53" s="116">
        <f t="shared" si="1"/>
        <v>0</v>
      </c>
      <c r="Q53" s="120"/>
      <c r="R53" s="120"/>
      <c r="S53" s="121"/>
      <c r="T53" s="121"/>
      <c r="U53" s="120"/>
      <c r="V53" s="120"/>
      <c r="W53" s="117"/>
      <c r="X53" s="117">
        <f t="shared" si="2"/>
        <v>0</v>
      </c>
      <c r="Y53" s="172"/>
    </row>
    <row r="54" spans="1:25" ht="78.75">
      <c r="A54" s="469"/>
      <c r="B54" s="469"/>
      <c r="C54" s="469"/>
      <c r="D54" s="106">
        <v>49</v>
      </c>
      <c r="E54" s="106" t="s">
        <v>85</v>
      </c>
      <c r="F54" s="120"/>
      <c r="G54" s="120"/>
      <c r="H54" s="120"/>
      <c r="I54" s="120"/>
      <c r="J54" s="116">
        <f t="shared" si="3"/>
        <v>0</v>
      </c>
      <c r="K54" s="120"/>
      <c r="L54" s="120"/>
      <c r="M54" s="120"/>
      <c r="N54" s="120"/>
      <c r="O54" s="120"/>
      <c r="P54" s="116">
        <f t="shared" si="1"/>
        <v>0</v>
      </c>
      <c r="Q54" s="120"/>
      <c r="R54" s="120"/>
      <c r="S54" s="120"/>
      <c r="T54" s="120"/>
      <c r="U54" s="120"/>
      <c r="V54" s="120"/>
      <c r="W54" s="117"/>
      <c r="X54" s="117">
        <f t="shared" si="2"/>
        <v>0</v>
      </c>
      <c r="Y54" s="172"/>
    </row>
    <row r="55" spans="1:25" ht="47.25">
      <c r="A55" s="469"/>
      <c r="B55" s="469"/>
      <c r="C55" s="469"/>
      <c r="D55" s="106">
        <v>50</v>
      </c>
      <c r="E55" s="106" t="s">
        <v>86</v>
      </c>
      <c r="F55" s="120"/>
      <c r="G55" s="120"/>
      <c r="H55" s="120"/>
      <c r="I55" s="120"/>
      <c r="J55" s="116">
        <f t="shared" si="3"/>
        <v>0</v>
      </c>
      <c r="K55" s="122"/>
      <c r="L55" s="122"/>
      <c r="M55" s="120"/>
      <c r="N55" s="120"/>
      <c r="O55" s="120"/>
      <c r="P55" s="116">
        <f t="shared" si="1"/>
        <v>0</v>
      </c>
      <c r="Q55" s="120"/>
      <c r="R55" s="120"/>
      <c r="S55" s="121"/>
      <c r="T55" s="121"/>
      <c r="U55" s="120"/>
      <c r="V55" s="120"/>
      <c r="W55" s="117"/>
      <c r="X55" s="117">
        <f t="shared" si="2"/>
        <v>0</v>
      </c>
      <c r="Y55" s="172"/>
    </row>
    <row r="56" spans="1:25" ht="63" hidden="1">
      <c r="A56" s="469"/>
      <c r="B56" s="469"/>
      <c r="C56" s="469"/>
      <c r="D56" s="106">
        <v>51</v>
      </c>
      <c r="E56" s="106" t="s">
        <v>44</v>
      </c>
      <c r="F56" s="120"/>
      <c r="G56" s="120"/>
      <c r="H56" s="120"/>
      <c r="I56" s="120"/>
      <c r="J56" s="116">
        <f t="shared" si="3"/>
        <v>0</v>
      </c>
      <c r="K56" s="120"/>
      <c r="L56" s="120"/>
      <c r="M56" s="120"/>
      <c r="N56" s="120"/>
      <c r="O56" s="120"/>
      <c r="P56" s="116">
        <f t="shared" si="1"/>
        <v>0</v>
      </c>
      <c r="Q56" s="120"/>
      <c r="R56" s="120"/>
      <c r="S56" s="120"/>
      <c r="T56" s="120"/>
      <c r="U56" s="120"/>
      <c r="V56" s="120"/>
      <c r="W56" s="117"/>
      <c r="X56" s="117">
        <f t="shared" si="2"/>
        <v>0</v>
      </c>
      <c r="Y56" s="172"/>
    </row>
    <row r="57" spans="1:25" ht="31.5">
      <c r="A57" s="469"/>
      <c r="B57" s="476" t="s">
        <v>87</v>
      </c>
      <c r="C57" s="476" t="s">
        <v>88</v>
      </c>
      <c r="D57" s="106">
        <v>52</v>
      </c>
      <c r="E57" s="106" t="s">
        <v>89</v>
      </c>
      <c r="F57" s="120"/>
      <c r="G57" s="120"/>
      <c r="H57" s="120"/>
      <c r="I57" s="120"/>
      <c r="J57" s="116">
        <f t="shared" si="3"/>
        <v>0</v>
      </c>
      <c r="K57" s="122"/>
      <c r="L57" s="122"/>
      <c r="M57" s="120"/>
      <c r="N57" s="120"/>
      <c r="O57" s="122"/>
      <c r="P57" s="117">
        <f t="shared" si="1"/>
        <v>0</v>
      </c>
      <c r="Q57" s="120"/>
      <c r="R57" s="120"/>
      <c r="S57" s="120"/>
      <c r="T57" s="120"/>
      <c r="U57" s="120"/>
      <c r="V57" s="120"/>
      <c r="W57" s="117"/>
      <c r="X57" s="117">
        <f t="shared" si="2"/>
        <v>0</v>
      </c>
      <c r="Y57" s="172"/>
    </row>
    <row r="58" spans="1:25" ht="47.25">
      <c r="A58" s="469"/>
      <c r="B58" s="469"/>
      <c r="C58" s="469"/>
      <c r="D58" s="106">
        <v>53</v>
      </c>
      <c r="E58" s="106" t="s">
        <v>90</v>
      </c>
      <c r="F58" s="120"/>
      <c r="G58" s="120"/>
      <c r="H58" s="120"/>
      <c r="I58" s="120"/>
      <c r="J58" s="116">
        <f t="shared" si="3"/>
        <v>0</v>
      </c>
      <c r="K58" s="120"/>
      <c r="L58" s="120"/>
      <c r="M58" s="120"/>
      <c r="N58" s="120"/>
      <c r="O58" s="122"/>
      <c r="P58" s="117">
        <f t="shared" si="1"/>
        <v>0</v>
      </c>
      <c r="Q58" s="120"/>
      <c r="R58" s="120"/>
      <c r="S58" s="120"/>
      <c r="T58" s="120"/>
      <c r="U58" s="120"/>
      <c r="V58" s="120"/>
      <c r="W58" s="117"/>
      <c r="X58" s="117">
        <f t="shared" si="2"/>
        <v>0</v>
      </c>
      <c r="Y58" s="150"/>
    </row>
    <row r="59" spans="1:25" ht="173.25">
      <c r="A59" s="469"/>
      <c r="B59" s="469"/>
      <c r="C59" s="469"/>
      <c r="D59" s="106">
        <v>54</v>
      </c>
      <c r="E59" s="106" t="s">
        <v>91</v>
      </c>
      <c r="F59" s="120"/>
      <c r="G59" s="120"/>
      <c r="H59" s="120"/>
      <c r="I59" s="121"/>
      <c r="J59" s="125">
        <f t="shared" si="3"/>
        <v>0</v>
      </c>
      <c r="K59" s="120"/>
      <c r="L59" s="120"/>
      <c r="M59" s="120"/>
      <c r="N59" s="120"/>
      <c r="O59" s="120"/>
      <c r="P59" s="116">
        <f t="shared" si="1"/>
        <v>0</v>
      </c>
      <c r="Q59" s="120"/>
      <c r="R59" s="120"/>
      <c r="S59" s="121"/>
      <c r="T59" s="121">
        <v>1</v>
      </c>
      <c r="U59" s="115"/>
      <c r="V59" s="120"/>
      <c r="W59" s="117"/>
      <c r="X59" s="117">
        <f t="shared" si="2"/>
        <v>1</v>
      </c>
      <c r="Y59" s="172" t="s">
        <v>804</v>
      </c>
    </row>
    <row r="60" spans="1:25" ht="47.25">
      <c r="A60" s="469"/>
      <c r="B60" s="469"/>
      <c r="C60" s="469"/>
      <c r="D60" s="106">
        <v>55</v>
      </c>
      <c r="E60" s="106" t="s">
        <v>93</v>
      </c>
      <c r="F60" s="120"/>
      <c r="G60" s="120"/>
      <c r="H60" s="120"/>
      <c r="I60" s="120"/>
      <c r="J60" s="116">
        <f t="shared" si="3"/>
        <v>0</v>
      </c>
      <c r="K60" s="120"/>
      <c r="L60" s="120"/>
      <c r="M60" s="120"/>
      <c r="N60" s="120"/>
      <c r="O60" s="122"/>
      <c r="P60" s="117">
        <f t="shared" si="1"/>
        <v>0</v>
      </c>
      <c r="Q60" s="120"/>
      <c r="R60" s="120"/>
      <c r="S60" s="120"/>
      <c r="T60" s="120"/>
      <c r="U60" s="120"/>
      <c r="V60" s="120"/>
      <c r="W60" s="117"/>
      <c r="X60" s="117">
        <f t="shared" si="2"/>
        <v>0</v>
      </c>
      <c r="Y60" s="172"/>
    </row>
    <row r="61" spans="1:25" ht="63">
      <c r="A61" s="469"/>
      <c r="B61" s="469"/>
      <c r="C61" s="469"/>
      <c r="D61" s="106">
        <v>56</v>
      </c>
      <c r="E61" s="106" t="s">
        <v>94</v>
      </c>
      <c r="F61" s="120"/>
      <c r="G61" s="120"/>
      <c r="H61" s="120"/>
      <c r="I61" s="120"/>
      <c r="J61" s="116">
        <f t="shared" si="3"/>
        <v>0</v>
      </c>
      <c r="K61" s="120"/>
      <c r="L61" s="120"/>
      <c r="M61" s="120"/>
      <c r="N61" s="120"/>
      <c r="O61" s="120"/>
      <c r="P61" s="116">
        <f t="shared" si="1"/>
        <v>0</v>
      </c>
      <c r="Q61" s="120"/>
      <c r="R61" s="120"/>
      <c r="S61" s="120"/>
      <c r="T61" s="120"/>
      <c r="U61" s="120"/>
      <c r="V61" s="120"/>
      <c r="W61" s="117"/>
      <c r="X61" s="117">
        <f t="shared" si="2"/>
        <v>0</v>
      </c>
      <c r="Y61" s="172"/>
    </row>
    <row r="62" spans="1:25" ht="116.25" customHeight="1">
      <c r="A62" s="469"/>
      <c r="B62" s="469"/>
      <c r="C62" s="469"/>
      <c r="D62" s="106">
        <v>57</v>
      </c>
      <c r="E62" s="106" t="s">
        <v>95</v>
      </c>
      <c r="F62" s="120"/>
      <c r="G62" s="120"/>
      <c r="H62" s="120"/>
      <c r="I62" s="121"/>
      <c r="J62" s="125">
        <f t="shared" si="3"/>
        <v>0</v>
      </c>
      <c r="K62" s="120"/>
      <c r="L62" s="120"/>
      <c r="M62" s="120"/>
      <c r="N62" s="120"/>
      <c r="O62" s="120"/>
      <c r="P62" s="116">
        <f t="shared" si="1"/>
        <v>0</v>
      </c>
      <c r="Q62" s="121"/>
      <c r="R62" s="121">
        <f>2+1.05</f>
        <v>3.05</v>
      </c>
      <c r="S62" s="97"/>
      <c r="T62" s="120"/>
      <c r="U62" s="120"/>
      <c r="V62" s="120"/>
      <c r="W62" s="117"/>
      <c r="X62" s="117">
        <f t="shared" si="2"/>
        <v>3.05</v>
      </c>
      <c r="Y62" s="172" t="s">
        <v>396</v>
      </c>
    </row>
    <row r="63" spans="1:25" ht="63">
      <c r="A63" s="469"/>
      <c r="B63" s="469"/>
      <c r="C63" s="469"/>
      <c r="D63" s="106">
        <v>58</v>
      </c>
      <c r="E63" s="106" t="s">
        <v>97</v>
      </c>
      <c r="F63" s="120"/>
      <c r="G63" s="120"/>
      <c r="H63" s="120"/>
      <c r="I63" s="120"/>
      <c r="J63" s="116">
        <f t="shared" si="3"/>
        <v>0</v>
      </c>
      <c r="K63" s="120"/>
      <c r="L63" s="120"/>
      <c r="M63" s="120"/>
      <c r="N63" s="120"/>
      <c r="O63" s="122"/>
      <c r="P63" s="117">
        <f t="shared" si="1"/>
        <v>0</v>
      </c>
      <c r="Q63" s="120"/>
      <c r="R63" s="120"/>
      <c r="S63" s="120"/>
      <c r="T63" s="120"/>
      <c r="U63" s="120"/>
      <c r="V63" s="120"/>
      <c r="W63" s="117"/>
      <c r="X63" s="117">
        <f t="shared" si="2"/>
        <v>0</v>
      </c>
      <c r="Y63" s="150"/>
    </row>
    <row r="64" spans="1:25" ht="31.5">
      <c r="A64" s="469"/>
      <c r="B64" s="469"/>
      <c r="C64" s="469"/>
      <c r="D64" s="106">
        <v>59</v>
      </c>
      <c r="E64" s="106" t="s">
        <v>98</v>
      </c>
      <c r="F64" s="120"/>
      <c r="G64" s="120"/>
      <c r="H64" s="120"/>
      <c r="I64" s="120"/>
      <c r="J64" s="116">
        <f t="shared" si="3"/>
        <v>0</v>
      </c>
      <c r="K64" s="120"/>
      <c r="L64" s="120"/>
      <c r="M64" s="120"/>
      <c r="N64" s="120"/>
      <c r="O64" s="120"/>
      <c r="P64" s="116">
        <f t="shared" si="1"/>
        <v>0</v>
      </c>
      <c r="Q64" s="120"/>
      <c r="R64" s="120"/>
      <c r="S64" s="120"/>
      <c r="T64" s="120"/>
      <c r="U64" s="120"/>
      <c r="V64" s="120"/>
      <c r="W64" s="117"/>
      <c r="X64" s="117">
        <f t="shared" si="2"/>
        <v>0</v>
      </c>
      <c r="Y64" s="172"/>
    </row>
    <row r="65" spans="1:25" ht="47.25">
      <c r="A65" s="469"/>
      <c r="B65" s="469"/>
      <c r="C65" s="469"/>
      <c r="D65" s="106">
        <v>60</v>
      </c>
      <c r="E65" s="106" t="s">
        <v>99</v>
      </c>
      <c r="F65" s="120"/>
      <c r="G65" s="120"/>
      <c r="H65" s="120"/>
      <c r="I65" s="120"/>
      <c r="J65" s="116">
        <f t="shared" si="3"/>
        <v>0</v>
      </c>
      <c r="K65" s="120"/>
      <c r="L65" s="120"/>
      <c r="M65" s="120"/>
      <c r="N65" s="120"/>
      <c r="O65" s="120"/>
      <c r="P65" s="116">
        <f t="shared" si="1"/>
        <v>0</v>
      </c>
      <c r="Q65" s="120"/>
      <c r="R65" s="120"/>
      <c r="S65" s="120"/>
      <c r="T65" s="120"/>
      <c r="U65" s="120"/>
      <c r="V65" s="120"/>
      <c r="W65" s="117"/>
      <c r="X65" s="117">
        <f t="shared" si="2"/>
        <v>0</v>
      </c>
      <c r="Y65" s="172"/>
    </row>
    <row r="66" spans="1:25" ht="63" hidden="1">
      <c r="A66" s="469"/>
      <c r="B66" s="469"/>
      <c r="C66" s="469"/>
      <c r="D66" s="106">
        <v>61</v>
      </c>
      <c r="E66" s="106" t="s">
        <v>44</v>
      </c>
      <c r="F66" s="120"/>
      <c r="G66" s="120"/>
      <c r="H66" s="120"/>
      <c r="I66" s="120"/>
      <c r="J66" s="116">
        <f t="shared" si="3"/>
        <v>0</v>
      </c>
      <c r="K66" s="120"/>
      <c r="L66" s="120"/>
      <c r="M66" s="120"/>
      <c r="N66" s="120"/>
      <c r="O66" s="120"/>
      <c r="P66" s="116">
        <f t="shared" si="1"/>
        <v>0</v>
      </c>
      <c r="Q66" s="120"/>
      <c r="R66" s="120"/>
      <c r="S66" s="120"/>
      <c r="T66" s="120"/>
      <c r="U66" s="120"/>
      <c r="V66" s="120"/>
      <c r="W66" s="117"/>
      <c r="X66" s="117">
        <f t="shared" si="2"/>
        <v>0</v>
      </c>
      <c r="Y66" s="172"/>
    </row>
    <row r="67" spans="1:25" ht="204.75">
      <c r="A67" s="469"/>
      <c r="B67" s="106" t="s">
        <v>100</v>
      </c>
      <c r="C67" s="106" t="s">
        <v>101</v>
      </c>
      <c r="D67" s="106">
        <v>62</v>
      </c>
      <c r="E67" s="106" t="s">
        <v>102</v>
      </c>
      <c r="F67" s="120"/>
      <c r="G67" s="120"/>
      <c r="H67" s="120"/>
      <c r="I67" s="120"/>
      <c r="J67" s="116">
        <f t="shared" si="3"/>
        <v>0</v>
      </c>
      <c r="K67" s="120"/>
      <c r="L67" s="120"/>
      <c r="M67" s="120"/>
      <c r="N67" s="120"/>
      <c r="O67" s="120"/>
      <c r="P67" s="116">
        <f t="shared" si="1"/>
        <v>0</v>
      </c>
      <c r="Q67" s="122"/>
      <c r="R67" s="122"/>
      <c r="S67" s="121"/>
      <c r="T67" s="121"/>
      <c r="U67" s="121"/>
      <c r="V67" s="121"/>
      <c r="W67" s="117"/>
      <c r="X67" s="117">
        <f t="shared" si="2"/>
        <v>0</v>
      </c>
      <c r="Y67" s="172"/>
    </row>
    <row r="68" spans="1:25" ht="40.5" customHeight="1">
      <c r="A68" s="469"/>
      <c r="B68" s="478" t="s">
        <v>103</v>
      </c>
      <c r="C68" s="469"/>
      <c r="D68" s="469"/>
      <c r="E68" s="99"/>
      <c r="F68" s="102">
        <f t="shared" ref="F68:W68" si="4">SUM(F6:F67)</f>
        <v>89.972850000000008</v>
      </c>
      <c r="G68" s="102">
        <f t="shared" si="4"/>
        <v>0</v>
      </c>
      <c r="H68" s="102">
        <f t="shared" si="4"/>
        <v>0</v>
      </c>
      <c r="I68" s="102">
        <f t="shared" si="4"/>
        <v>0</v>
      </c>
      <c r="J68" s="102">
        <f t="shared" si="4"/>
        <v>0</v>
      </c>
      <c r="K68" s="102">
        <f t="shared" si="4"/>
        <v>0</v>
      </c>
      <c r="L68" s="102">
        <f t="shared" si="4"/>
        <v>1.3205</v>
      </c>
      <c r="M68" s="102">
        <f t="shared" si="4"/>
        <v>0</v>
      </c>
      <c r="N68" s="102">
        <f t="shared" si="4"/>
        <v>0</v>
      </c>
      <c r="O68" s="102">
        <f t="shared" si="4"/>
        <v>113.1079</v>
      </c>
      <c r="P68" s="102">
        <f t="shared" si="4"/>
        <v>113.1079</v>
      </c>
      <c r="Q68" s="102">
        <f t="shared" si="4"/>
        <v>0</v>
      </c>
      <c r="R68" s="102">
        <f t="shared" si="4"/>
        <v>110.4414</v>
      </c>
      <c r="S68" s="102">
        <f t="shared" si="4"/>
        <v>0</v>
      </c>
      <c r="T68" s="102">
        <f t="shared" si="4"/>
        <v>588.89370000000019</v>
      </c>
      <c r="U68" s="102">
        <f t="shared" si="4"/>
        <v>0</v>
      </c>
      <c r="V68" s="102">
        <f t="shared" si="4"/>
        <v>0</v>
      </c>
      <c r="W68" s="102">
        <f t="shared" si="4"/>
        <v>0</v>
      </c>
      <c r="X68" s="102">
        <f t="shared" si="2"/>
        <v>903.73635000000013</v>
      </c>
      <c r="Y68" s="172"/>
    </row>
    <row r="69" spans="1:25" s="17" customFormat="1" ht="81.75" customHeight="1">
      <c r="A69" s="477" t="s">
        <v>104</v>
      </c>
      <c r="B69" s="106" t="s">
        <v>105</v>
      </c>
      <c r="C69" s="106" t="s">
        <v>106</v>
      </c>
      <c r="D69" s="106">
        <v>63</v>
      </c>
      <c r="E69" s="106" t="s">
        <v>107</v>
      </c>
      <c r="F69" s="120"/>
      <c r="G69" s="120"/>
      <c r="H69" s="120"/>
      <c r="I69" s="120"/>
      <c r="J69" s="116">
        <f t="shared" ref="J69:J79" si="5">H69+I69</f>
        <v>0</v>
      </c>
      <c r="K69" s="120"/>
      <c r="L69" s="120"/>
      <c r="M69" s="120"/>
      <c r="N69" s="120"/>
      <c r="O69" s="120"/>
      <c r="P69" s="116">
        <f t="shared" ref="P69:P78" si="6">N69+O69</f>
        <v>0</v>
      </c>
      <c r="Q69" s="121"/>
      <c r="R69" s="121"/>
      <c r="S69" s="122"/>
      <c r="T69" s="122"/>
      <c r="U69" s="125"/>
      <c r="V69" s="125">
        <v>1.5</v>
      </c>
      <c r="W69" s="392" t="s">
        <v>386</v>
      </c>
      <c r="X69" s="117">
        <f t="shared" si="2"/>
        <v>1.5</v>
      </c>
      <c r="Y69" s="172" t="s">
        <v>962</v>
      </c>
    </row>
    <row r="70" spans="1:25" ht="204.75">
      <c r="A70" s="469"/>
      <c r="B70" s="476" t="s">
        <v>108</v>
      </c>
      <c r="C70" s="476" t="s">
        <v>109</v>
      </c>
      <c r="D70" s="106">
        <v>64</v>
      </c>
      <c r="E70" s="106" t="s">
        <v>110</v>
      </c>
      <c r="F70" s="120"/>
      <c r="G70" s="120"/>
      <c r="H70" s="120"/>
      <c r="I70" s="121"/>
      <c r="J70" s="125">
        <f t="shared" si="5"/>
        <v>0</v>
      </c>
      <c r="K70" s="122"/>
      <c r="L70" s="122">
        <v>0</v>
      </c>
      <c r="M70" s="116"/>
      <c r="N70" s="120"/>
      <c r="O70" s="122">
        <v>0.2</v>
      </c>
      <c r="P70" s="117">
        <f t="shared" si="6"/>
        <v>0.2</v>
      </c>
      <c r="Q70" s="115"/>
      <c r="R70" s="120"/>
      <c r="S70" s="122"/>
      <c r="T70" s="171">
        <v>1.75</v>
      </c>
      <c r="U70" s="136"/>
      <c r="V70" s="121">
        <v>0.75</v>
      </c>
      <c r="W70" s="117"/>
      <c r="X70" s="117">
        <f t="shared" si="2"/>
        <v>2.7</v>
      </c>
      <c r="Y70" s="172" t="s">
        <v>1051</v>
      </c>
    </row>
    <row r="71" spans="1:25" ht="315">
      <c r="A71" s="469"/>
      <c r="B71" s="469"/>
      <c r="C71" s="469"/>
      <c r="D71" s="106">
        <v>65</v>
      </c>
      <c r="E71" s="106" t="s">
        <v>111</v>
      </c>
      <c r="F71" s="120"/>
      <c r="G71" s="120"/>
      <c r="H71" s="120"/>
      <c r="I71" s="120"/>
      <c r="J71" s="116">
        <f t="shared" si="5"/>
        <v>0</v>
      </c>
      <c r="K71" s="120"/>
      <c r="L71" s="120"/>
      <c r="M71" s="120"/>
      <c r="N71" s="120"/>
      <c r="O71" s="120"/>
      <c r="P71" s="116">
        <f t="shared" si="6"/>
        <v>0</v>
      </c>
      <c r="Q71" s="120"/>
      <c r="R71" s="120"/>
      <c r="S71" s="121"/>
      <c r="T71" s="168">
        <v>0.25</v>
      </c>
      <c r="U71" s="136"/>
      <c r="V71" s="121"/>
      <c r="W71" s="117"/>
      <c r="X71" s="117">
        <f t="shared" si="2"/>
        <v>0.25</v>
      </c>
      <c r="Y71" s="172" t="s">
        <v>1052</v>
      </c>
    </row>
    <row r="72" spans="1:25" ht="141.75" customHeight="1">
      <c r="A72" s="469"/>
      <c r="B72" s="469"/>
      <c r="C72" s="469"/>
      <c r="D72" s="106">
        <v>66</v>
      </c>
      <c r="E72" s="106" t="s">
        <v>112</v>
      </c>
      <c r="F72" s="120"/>
      <c r="G72" s="120"/>
      <c r="H72" s="120"/>
      <c r="I72" s="120"/>
      <c r="J72" s="116">
        <f t="shared" si="5"/>
        <v>0</v>
      </c>
      <c r="K72" s="120"/>
      <c r="L72" s="120"/>
      <c r="M72" s="120"/>
      <c r="N72" s="120"/>
      <c r="O72" s="122"/>
      <c r="P72" s="117">
        <f t="shared" si="6"/>
        <v>0</v>
      </c>
      <c r="Q72" s="120"/>
      <c r="R72" s="120"/>
      <c r="S72" s="121"/>
      <c r="T72" s="121">
        <v>0.09</v>
      </c>
      <c r="U72" s="115"/>
      <c r="V72" s="120"/>
      <c r="W72" s="117"/>
      <c r="X72" s="117">
        <f t="shared" si="2"/>
        <v>0.09</v>
      </c>
      <c r="Y72" s="98" t="s">
        <v>1053</v>
      </c>
    </row>
    <row r="73" spans="1:25" ht="220.5">
      <c r="A73" s="469"/>
      <c r="B73" s="469"/>
      <c r="C73" s="469"/>
      <c r="D73" s="106">
        <v>67</v>
      </c>
      <c r="E73" s="106" t="s">
        <v>113</v>
      </c>
      <c r="F73" s="120"/>
      <c r="G73" s="120"/>
      <c r="H73" s="120"/>
      <c r="I73" s="120"/>
      <c r="J73" s="116">
        <f t="shared" si="5"/>
        <v>0</v>
      </c>
      <c r="K73" s="120"/>
      <c r="L73" s="120"/>
      <c r="M73" s="120"/>
      <c r="N73" s="120"/>
      <c r="O73" s="122"/>
      <c r="P73" s="117">
        <f t="shared" si="6"/>
        <v>0</v>
      </c>
      <c r="Q73" s="120"/>
      <c r="R73" s="120"/>
      <c r="S73" s="121"/>
      <c r="T73" s="121">
        <v>68.97</v>
      </c>
      <c r="U73" s="115"/>
      <c r="V73" s="121">
        <v>1</v>
      </c>
      <c r="W73" s="132"/>
      <c r="X73" s="117">
        <f t="shared" si="2"/>
        <v>69.97</v>
      </c>
      <c r="Y73" s="172" t="s">
        <v>1069</v>
      </c>
    </row>
    <row r="74" spans="1:25" ht="63" customHeight="1">
      <c r="A74" s="469"/>
      <c r="B74" s="469"/>
      <c r="C74" s="469"/>
      <c r="D74" s="106">
        <v>68</v>
      </c>
      <c r="E74" s="106" t="s">
        <v>114</v>
      </c>
      <c r="F74" s="121"/>
      <c r="G74" s="120"/>
      <c r="H74" s="120"/>
      <c r="I74" s="120"/>
      <c r="J74" s="116">
        <f t="shared" si="5"/>
        <v>0</v>
      </c>
      <c r="K74" s="122"/>
      <c r="L74" s="122"/>
      <c r="M74" s="120"/>
      <c r="N74" s="120"/>
      <c r="O74" s="122"/>
      <c r="P74" s="117">
        <f t="shared" si="6"/>
        <v>0</v>
      </c>
      <c r="Q74" s="120"/>
      <c r="R74" s="120"/>
      <c r="S74" s="121"/>
      <c r="T74" s="121">
        <v>6.09</v>
      </c>
      <c r="U74" s="136"/>
      <c r="V74" s="121">
        <v>1.4</v>
      </c>
      <c r="W74" s="132"/>
      <c r="X74" s="117">
        <f t="shared" si="2"/>
        <v>7.49</v>
      </c>
      <c r="Y74" s="172" t="s">
        <v>1055</v>
      </c>
    </row>
    <row r="75" spans="1:25" ht="378">
      <c r="A75" s="469"/>
      <c r="B75" s="476" t="s">
        <v>115</v>
      </c>
      <c r="C75" s="476" t="s">
        <v>116</v>
      </c>
      <c r="D75" s="106">
        <v>69</v>
      </c>
      <c r="E75" s="106" t="s">
        <v>117</v>
      </c>
      <c r="F75" s="138"/>
      <c r="G75" s="138"/>
      <c r="H75" s="138"/>
      <c r="I75" s="138"/>
      <c r="J75" s="116">
        <f t="shared" si="5"/>
        <v>0</v>
      </c>
      <c r="K75" s="138"/>
      <c r="L75" s="138"/>
      <c r="M75" s="138"/>
      <c r="N75" s="138"/>
      <c r="O75" s="138"/>
      <c r="P75" s="116">
        <f t="shared" si="6"/>
        <v>0</v>
      </c>
      <c r="Q75" s="140"/>
      <c r="R75" s="140">
        <v>0.2</v>
      </c>
      <c r="S75" s="140"/>
      <c r="T75" s="140">
        <f>1.8+83+4.15+1.52+1.245+0.415+1.9</f>
        <v>94.030000000000015</v>
      </c>
      <c r="U75" s="138"/>
      <c r="V75" s="138"/>
      <c r="W75" s="117"/>
      <c r="X75" s="117">
        <f t="shared" si="2"/>
        <v>94.230000000000018</v>
      </c>
      <c r="Y75" s="403" t="s">
        <v>923</v>
      </c>
    </row>
    <row r="76" spans="1:25" ht="204.75">
      <c r="A76" s="469"/>
      <c r="B76" s="469"/>
      <c r="C76" s="469"/>
      <c r="D76" s="106">
        <v>70</v>
      </c>
      <c r="E76" s="106" t="s">
        <v>118</v>
      </c>
      <c r="F76" s="140"/>
      <c r="G76" s="138"/>
      <c r="H76" s="138"/>
      <c r="I76" s="138"/>
      <c r="J76" s="116">
        <f t="shared" si="5"/>
        <v>0</v>
      </c>
      <c r="K76" s="142"/>
      <c r="L76" s="142">
        <v>0.127</v>
      </c>
      <c r="M76" s="138"/>
      <c r="N76" s="138"/>
      <c r="O76" s="138"/>
      <c r="P76" s="116">
        <f t="shared" si="6"/>
        <v>0</v>
      </c>
      <c r="Q76" s="138"/>
      <c r="R76" s="138"/>
      <c r="S76" s="140"/>
      <c r="T76" s="140">
        <v>1.1000000000000001</v>
      </c>
      <c r="U76" s="138"/>
      <c r="V76" s="138"/>
      <c r="W76" s="117"/>
      <c r="X76" s="117">
        <f t="shared" si="2"/>
        <v>1.2270000000000001</v>
      </c>
      <c r="Y76" s="403" t="s">
        <v>924</v>
      </c>
    </row>
    <row r="77" spans="1:25" ht="31.5">
      <c r="A77" s="469"/>
      <c r="B77" s="469"/>
      <c r="C77" s="469"/>
      <c r="D77" s="106">
        <v>71</v>
      </c>
      <c r="E77" s="106" t="s">
        <v>119</v>
      </c>
      <c r="F77" s="138"/>
      <c r="G77" s="138"/>
      <c r="H77" s="138"/>
      <c r="I77" s="138"/>
      <c r="J77" s="116">
        <f t="shared" si="5"/>
        <v>0</v>
      </c>
      <c r="K77" s="138"/>
      <c r="L77" s="138"/>
      <c r="M77" s="138"/>
      <c r="N77" s="138"/>
      <c r="O77" s="138"/>
      <c r="P77" s="116">
        <f t="shared" si="6"/>
        <v>0</v>
      </c>
      <c r="Q77" s="138"/>
      <c r="R77" s="138"/>
      <c r="S77" s="138"/>
      <c r="T77" s="138"/>
      <c r="U77" s="138"/>
      <c r="V77" s="138"/>
      <c r="W77" s="117"/>
      <c r="X77" s="117">
        <f t="shared" si="2"/>
        <v>0</v>
      </c>
      <c r="Y77" s="172"/>
    </row>
    <row r="78" spans="1:25" ht="31.5">
      <c r="A78" s="469"/>
      <c r="B78" s="469"/>
      <c r="C78" s="469"/>
      <c r="D78" s="106">
        <v>72</v>
      </c>
      <c r="E78" s="106" t="s">
        <v>120</v>
      </c>
      <c r="F78" s="138"/>
      <c r="G78" s="138"/>
      <c r="H78" s="138"/>
      <c r="I78" s="143"/>
      <c r="J78" s="116">
        <f t="shared" si="5"/>
        <v>0</v>
      </c>
      <c r="K78" s="143"/>
      <c r="L78" s="143"/>
      <c r="M78" s="143"/>
      <c r="N78" s="143"/>
      <c r="O78" s="144"/>
      <c r="P78" s="145">
        <f t="shared" si="6"/>
        <v>0</v>
      </c>
      <c r="Q78" s="146"/>
      <c r="R78" s="146"/>
      <c r="S78" s="125"/>
      <c r="T78" s="125"/>
      <c r="U78" s="143"/>
      <c r="V78" s="143"/>
      <c r="W78" s="117"/>
      <c r="X78" s="117">
        <f t="shared" si="2"/>
        <v>0</v>
      </c>
      <c r="Y78" s="172"/>
    </row>
    <row r="79" spans="1:25" ht="409.5">
      <c r="A79" s="469"/>
      <c r="B79" s="476" t="s">
        <v>121</v>
      </c>
      <c r="C79" s="476" t="s">
        <v>122</v>
      </c>
      <c r="D79" s="106">
        <v>73</v>
      </c>
      <c r="E79" s="106" t="s">
        <v>123</v>
      </c>
      <c r="F79" s="147">
        <v>3.1</v>
      </c>
      <c r="G79" s="147"/>
      <c r="H79" s="147"/>
      <c r="I79" s="147">
        <v>0.4</v>
      </c>
      <c r="J79" s="148">
        <f t="shared" si="5"/>
        <v>0.4</v>
      </c>
      <c r="K79" s="147"/>
      <c r="L79" s="147">
        <v>1.8</v>
      </c>
      <c r="M79" s="147"/>
      <c r="N79" s="147"/>
      <c r="O79" s="147">
        <v>3.1</v>
      </c>
      <c r="P79" s="149">
        <f>O79</f>
        <v>3.1</v>
      </c>
      <c r="Q79" s="147"/>
      <c r="R79" s="147">
        <v>11.5</v>
      </c>
      <c r="S79" s="147"/>
      <c r="T79" s="147">
        <v>1.2</v>
      </c>
      <c r="U79" s="147"/>
      <c r="V79" s="147">
        <v>0.5</v>
      </c>
      <c r="W79" s="117"/>
      <c r="X79" s="117">
        <f t="shared" si="2"/>
        <v>21.599999999999998</v>
      </c>
      <c r="Y79" s="172" t="s">
        <v>1129</v>
      </c>
    </row>
    <row r="80" spans="1:25" ht="78.75">
      <c r="A80" s="469"/>
      <c r="B80" s="469"/>
      <c r="C80" s="469"/>
      <c r="D80" s="106">
        <v>74</v>
      </c>
      <c r="E80" s="106" t="s">
        <v>124</v>
      </c>
      <c r="F80" s="147">
        <v>76</v>
      </c>
      <c r="G80" s="147"/>
      <c r="H80" s="147"/>
      <c r="I80" s="150"/>
      <c r="J80" s="140">
        <v>0</v>
      </c>
      <c r="K80" s="150"/>
      <c r="L80" s="150"/>
      <c r="M80" s="150"/>
      <c r="N80" s="150"/>
      <c r="O80" s="150"/>
      <c r="P80" s="140">
        <v>0</v>
      </c>
      <c r="Q80" s="150"/>
      <c r="R80" s="150"/>
      <c r="S80" s="150"/>
      <c r="T80" s="150"/>
      <c r="U80" s="150"/>
      <c r="V80" s="150"/>
      <c r="W80" s="117"/>
      <c r="X80" s="117">
        <f t="shared" si="2"/>
        <v>76</v>
      </c>
      <c r="Y80" s="172" t="s">
        <v>1130</v>
      </c>
    </row>
    <row r="81" spans="1:25" ht="252">
      <c r="A81" s="469"/>
      <c r="B81" s="469"/>
      <c r="C81" s="469"/>
      <c r="D81" s="106">
        <v>75</v>
      </c>
      <c r="E81" s="106" t="s">
        <v>125</v>
      </c>
      <c r="F81" s="147">
        <v>2.2999999999999998</v>
      </c>
      <c r="G81" s="147"/>
      <c r="H81" s="147"/>
      <c r="I81" s="150"/>
      <c r="J81" s="140">
        <v>0</v>
      </c>
      <c r="K81" s="150"/>
      <c r="L81" s="150"/>
      <c r="M81" s="150"/>
      <c r="N81" s="150"/>
      <c r="O81" s="150"/>
      <c r="P81" s="140">
        <v>0</v>
      </c>
      <c r="Q81" s="150"/>
      <c r="R81" s="150"/>
      <c r="S81" s="147"/>
      <c r="T81" s="147">
        <v>2.7</v>
      </c>
      <c r="U81" s="150"/>
      <c r="V81" s="150"/>
      <c r="W81" s="117"/>
      <c r="X81" s="117">
        <f t="shared" si="2"/>
        <v>5</v>
      </c>
      <c r="Y81" s="172" t="s">
        <v>1131</v>
      </c>
    </row>
    <row r="82" spans="1:25" ht="47.25" customHeight="1">
      <c r="A82" s="469"/>
      <c r="B82" s="469"/>
      <c r="C82" s="469"/>
      <c r="D82" s="106">
        <v>76</v>
      </c>
      <c r="E82" s="106" t="s">
        <v>126</v>
      </c>
      <c r="F82" s="150">
        <v>2.2000000000000002</v>
      </c>
      <c r="G82" s="150"/>
      <c r="H82" s="150"/>
      <c r="I82" s="150"/>
      <c r="J82" s="140">
        <v>0</v>
      </c>
      <c r="K82" s="150"/>
      <c r="L82" s="150"/>
      <c r="M82" s="150"/>
      <c r="N82" s="150"/>
      <c r="O82" s="147"/>
      <c r="P82" s="140">
        <v>0</v>
      </c>
      <c r="Q82" s="147"/>
      <c r="R82" s="147">
        <v>1.8</v>
      </c>
      <c r="S82" s="150"/>
      <c r="T82" s="150"/>
      <c r="U82" s="150"/>
      <c r="V82" s="150"/>
      <c r="W82" s="117"/>
      <c r="X82" s="117">
        <f t="shared" si="2"/>
        <v>4</v>
      </c>
      <c r="Y82" s="172" t="s">
        <v>1132</v>
      </c>
    </row>
    <row r="83" spans="1:25" ht="409.5">
      <c r="A83" s="469"/>
      <c r="B83" s="469"/>
      <c r="C83" s="469"/>
      <c r="D83" s="106">
        <v>77</v>
      </c>
      <c r="E83" s="106" t="s">
        <v>127</v>
      </c>
      <c r="F83" s="147">
        <v>0.6</v>
      </c>
      <c r="G83" s="147"/>
      <c r="H83" s="147"/>
      <c r="I83" s="147">
        <v>0.25</v>
      </c>
      <c r="J83" s="149">
        <f>I83</f>
        <v>0.25</v>
      </c>
      <c r="K83" s="147"/>
      <c r="L83" s="147">
        <v>8</v>
      </c>
      <c r="M83" s="150"/>
      <c r="N83" s="150"/>
      <c r="O83" s="147">
        <v>1.2</v>
      </c>
      <c r="P83" s="149">
        <f>O83</f>
        <v>1.2</v>
      </c>
      <c r="Q83" s="147"/>
      <c r="R83" s="147">
        <v>45.5</v>
      </c>
      <c r="S83" s="150"/>
      <c r="T83" s="150"/>
      <c r="U83" s="147"/>
      <c r="V83" s="147">
        <v>0</v>
      </c>
      <c r="W83" s="117"/>
      <c r="X83" s="117">
        <f t="shared" si="2"/>
        <v>55.55</v>
      </c>
      <c r="Y83" s="172" t="s">
        <v>1133</v>
      </c>
    </row>
    <row r="84" spans="1:25" ht="47.25">
      <c r="A84" s="469"/>
      <c r="B84" s="469"/>
      <c r="C84" s="469"/>
      <c r="D84" s="106">
        <v>78</v>
      </c>
      <c r="E84" s="106" t="s">
        <v>128</v>
      </c>
      <c r="F84" s="150"/>
      <c r="G84" s="150"/>
      <c r="H84" s="150"/>
      <c r="I84" s="150"/>
      <c r="J84" s="116">
        <f>H84+I84</f>
        <v>0</v>
      </c>
      <c r="K84" s="150"/>
      <c r="L84" s="150"/>
      <c r="M84" s="150"/>
      <c r="N84" s="150"/>
      <c r="O84" s="150"/>
      <c r="P84" s="116">
        <f>N84+O84</f>
        <v>0</v>
      </c>
      <c r="Q84" s="150"/>
      <c r="R84" s="150"/>
      <c r="S84" s="150"/>
      <c r="T84" s="150"/>
      <c r="U84" s="150"/>
      <c r="V84" s="150"/>
      <c r="W84" s="117"/>
      <c r="X84" s="117">
        <f t="shared" si="2"/>
        <v>0</v>
      </c>
      <c r="Y84" s="172"/>
    </row>
    <row r="85" spans="1:25" ht="15" hidden="1" customHeight="1">
      <c r="A85" s="469"/>
      <c r="B85" s="469"/>
      <c r="C85" s="469"/>
      <c r="D85" s="106">
        <v>79</v>
      </c>
      <c r="E85" s="106" t="s">
        <v>44</v>
      </c>
      <c r="F85" s="151"/>
      <c r="G85" s="151"/>
      <c r="H85" s="151"/>
      <c r="I85" s="151"/>
      <c r="J85" s="116">
        <f t="shared" ref="J85:J92" si="7">H85+I85</f>
        <v>0</v>
      </c>
      <c r="K85" s="151"/>
      <c r="L85" s="151"/>
      <c r="M85" s="151"/>
      <c r="N85" s="151"/>
      <c r="O85" s="151"/>
      <c r="P85" s="116">
        <f t="shared" ref="P85:P92" si="8">N85+O85</f>
        <v>0</v>
      </c>
      <c r="Q85" s="151"/>
      <c r="R85" s="151"/>
      <c r="S85" s="151"/>
      <c r="T85" s="151"/>
      <c r="U85" s="151"/>
      <c r="V85" s="151"/>
      <c r="W85" s="117"/>
      <c r="X85" s="117">
        <f t="shared" si="2"/>
        <v>0</v>
      </c>
      <c r="Y85" s="172"/>
    </row>
    <row r="86" spans="1:25" ht="15.75">
      <c r="A86" s="469"/>
      <c r="B86" s="476" t="s">
        <v>129</v>
      </c>
      <c r="C86" s="476" t="s">
        <v>130</v>
      </c>
      <c r="D86" s="106">
        <v>80</v>
      </c>
      <c r="E86" s="106" t="s">
        <v>131</v>
      </c>
      <c r="F86" s="120"/>
      <c r="G86" s="120"/>
      <c r="H86" s="120"/>
      <c r="I86" s="120"/>
      <c r="J86" s="116">
        <f t="shared" si="7"/>
        <v>0</v>
      </c>
      <c r="K86" s="120"/>
      <c r="L86" s="120"/>
      <c r="M86" s="120"/>
      <c r="N86" s="120"/>
      <c r="O86" s="152"/>
      <c r="P86" s="145">
        <f t="shared" si="8"/>
        <v>0</v>
      </c>
      <c r="Q86" s="122"/>
      <c r="R86" s="122"/>
      <c r="S86" s="121"/>
      <c r="T86" s="121"/>
      <c r="U86" s="120"/>
      <c r="V86" s="120"/>
      <c r="W86" s="117"/>
      <c r="X86" s="117">
        <f t="shared" si="2"/>
        <v>0</v>
      </c>
      <c r="Y86" s="172"/>
    </row>
    <row r="87" spans="1:25" ht="63">
      <c r="A87" s="469"/>
      <c r="B87" s="469"/>
      <c r="C87" s="469"/>
      <c r="D87" s="106">
        <v>81</v>
      </c>
      <c r="E87" s="106" t="s">
        <v>132</v>
      </c>
      <c r="F87" s="120"/>
      <c r="G87" s="120"/>
      <c r="H87" s="120"/>
      <c r="I87" s="120"/>
      <c r="J87" s="116">
        <f t="shared" si="7"/>
        <v>0</v>
      </c>
      <c r="K87" s="120"/>
      <c r="L87" s="120"/>
      <c r="M87" s="120"/>
      <c r="N87" s="120"/>
      <c r="O87" s="120"/>
      <c r="P87" s="116">
        <f t="shared" si="8"/>
        <v>0</v>
      </c>
      <c r="Q87" s="122"/>
      <c r="R87" s="122"/>
      <c r="S87" s="121"/>
      <c r="T87" s="121"/>
      <c r="U87" s="120"/>
      <c r="V87" s="120"/>
      <c r="W87" s="117"/>
      <c r="X87" s="117">
        <f t="shared" si="2"/>
        <v>0</v>
      </c>
      <c r="Y87" s="172"/>
    </row>
    <row r="88" spans="1:25" ht="78.75">
      <c r="A88" s="469"/>
      <c r="B88" s="469"/>
      <c r="C88" s="469"/>
      <c r="D88" s="106">
        <v>82</v>
      </c>
      <c r="E88" s="223" t="s">
        <v>133</v>
      </c>
      <c r="F88" s="120"/>
      <c r="G88" s="120"/>
      <c r="H88" s="120"/>
      <c r="I88" s="120"/>
      <c r="J88" s="116">
        <f t="shared" si="7"/>
        <v>0</v>
      </c>
      <c r="K88" s="120"/>
      <c r="L88" s="120"/>
      <c r="M88" s="120"/>
      <c r="N88" s="120"/>
      <c r="O88" s="120"/>
      <c r="P88" s="116">
        <f t="shared" si="8"/>
        <v>0</v>
      </c>
      <c r="Q88" s="120"/>
      <c r="R88" s="120"/>
      <c r="S88" s="121"/>
      <c r="T88" s="121">
        <v>0.12</v>
      </c>
      <c r="U88" s="120"/>
      <c r="V88" s="120"/>
      <c r="W88" s="117"/>
      <c r="X88" s="117">
        <f t="shared" si="2"/>
        <v>0.12</v>
      </c>
      <c r="Y88" s="398" t="s">
        <v>958</v>
      </c>
    </row>
    <row r="89" spans="1:25" ht="31.5">
      <c r="A89" s="469"/>
      <c r="B89" s="469"/>
      <c r="C89" s="469"/>
      <c r="D89" s="106">
        <v>83</v>
      </c>
      <c r="E89" s="106" t="s">
        <v>134</v>
      </c>
      <c r="F89" s="120"/>
      <c r="G89" s="120"/>
      <c r="H89" s="120"/>
      <c r="I89" s="120"/>
      <c r="J89" s="116">
        <f t="shared" si="7"/>
        <v>0</v>
      </c>
      <c r="K89" s="120"/>
      <c r="L89" s="120"/>
      <c r="M89" s="120"/>
      <c r="N89" s="120"/>
      <c r="O89" s="122">
        <v>0.5</v>
      </c>
      <c r="P89" s="117">
        <f t="shared" si="8"/>
        <v>0.5</v>
      </c>
      <c r="Q89" s="121"/>
      <c r="R89" s="121"/>
      <c r="S89" s="121"/>
      <c r="T89" s="121">
        <v>0</v>
      </c>
      <c r="U89" s="120"/>
      <c r="V89" s="120"/>
      <c r="W89" s="117"/>
      <c r="X89" s="117">
        <f t="shared" si="2"/>
        <v>0.5</v>
      </c>
      <c r="Y89" s="172" t="s">
        <v>956</v>
      </c>
    </row>
    <row r="90" spans="1:25" ht="126">
      <c r="A90" s="469"/>
      <c r="B90" s="106" t="s">
        <v>135</v>
      </c>
      <c r="C90" s="106" t="s">
        <v>136</v>
      </c>
      <c r="D90" s="106">
        <v>84</v>
      </c>
      <c r="E90" s="106" t="s">
        <v>137</v>
      </c>
      <c r="F90" s="120"/>
      <c r="G90" s="120"/>
      <c r="H90" s="120"/>
      <c r="I90" s="120"/>
      <c r="J90" s="116">
        <f t="shared" si="7"/>
        <v>0</v>
      </c>
      <c r="K90" s="122"/>
      <c r="L90" s="122"/>
      <c r="M90" s="120"/>
      <c r="N90" s="120"/>
      <c r="O90" s="122"/>
      <c r="P90" s="117">
        <f t="shared" si="8"/>
        <v>0</v>
      </c>
      <c r="Q90" s="120"/>
      <c r="R90" s="120"/>
      <c r="S90" s="120"/>
      <c r="T90" s="120"/>
      <c r="U90" s="120"/>
      <c r="V90" s="120"/>
      <c r="W90" s="117"/>
      <c r="X90" s="117">
        <f t="shared" si="2"/>
        <v>0</v>
      </c>
      <c r="Y90" s="172"/>
    </row>
    <row r="91" spans="1:25" ht="173.25">
      <c r="A91" s="469"/>
      <c r="B91" s="106" t="s">
        <v>138</v>
      </c>
      <c r="C91" s="106" t="s">
        <v>139</v>
      </c>
      <c r="D91" s="106">
        <v>85</v>
      </c>
      <c r="E91" s="106" t="s">
        <v>140</v>
      </c>
      <c r="F91" s="120"/>
      <c r="G91" s="120"/>
      <c r="H91" s="120"/>
      <c r="I91" s="120"/>
      <c r="J91" s="116">
        <f t="shared" si="7"/>
        <v>0</v>
      </c>
      <c r="K91" s="120"/>
      <c r="L91" s="120"/>
      <c r="M91" s="120"/>
      <c r="N91" s="120"/>
      <c r="O91" s="122"/>
      <c r="P91" s="117">
        <f t="shared" si="8"/>
        <v>0</v>
      </c>
      <c r="Q91" s="120"/>
      <c r="R91" s="120"/>
      <c r="S91" s="120"/>
      <c r="T91" s="120"/>
      <c r="U91" s="120"/>
      <c r="V91" s="120"/>
      <c r="W91" s="117"/>
      <c r="X91" s="117">
        <f t="shared" si="2"/>
        <v>0</v>
      </c>
      <c r="Y91" s="172"/>
    </row>
    <row r="92" spans="1:25" ht="94.5">
      <c r="A92" s="469"/>
      <c r="B92" s="106" t="s">
        <v>141</v>
      </c>
      <c r="C92" s="106" t="s">
        <v>44</v>
      </c>
      <c r="D92" s="106">
        <v>86</v>
      </c>
      <c r="E92" s="106" t="s">
        <v>142</v>
      </c>
      <c r="F92" s="116"/>
      <c r="G92" s="116"/>
      <c r="H92" s="116"/>
      <c r="I92" s="116"/>
      <c r="J92" s="116">
        <f t="shared" si="7"/>
        <v>0</v>
      </c>
      <c r="K92" s="116"/>
      <c r="L92" s="116"/>
      <c r="M92" s="116"/>
      <c r="N92" s="116"/>
      <c r="O92" s="116"/>
      <c r="P92" s="116">
        <f t="shared" si="8"/>
        <v>0</v>
      </c>
      <c r="Q92" s="116"/>
      <c r="R92" s="116"/>
      <c r="S92" s="116"/>
      <c r="T92" s="116"/>
      <c r="U92" s="116"/>
      <c r="V92" s="116"/>
      <c r="W92" s="117"/>
      <c r="X92" s="117">
        <f t="shared" si="2"/>
        <v>0</v>
      </c>
      <c r="Y92" s="172"/>
    </row>
    <row r="93" spans="1:25" ht="52.5" customHeight="1">
      <c r="A93" s="469"/>
      <c r="B93" s="476" t="s">
        <v>143</v>
      </c>
      <c r="C93" s="469"/>
      <c r="D93" s="469"/>
      <c r="E93" s="106"/>
      <c r="F93" s="102">
        <f t="shared" ref="F93:W93" si="9">SUM(F69:F92)</f>
        <v>84.199999999999989</v>
      </c>
      <c r="G93" s="102">
        <f t="shared" si="9"/>
        <v>0</v>
      </c>
      <c r="H93" s="102">
        <f t="shared" si="9"/>
        <v>0</v>
      </c>
      <c r="I93" s="102">
        <f t="shared" si="9"/>
        <v>0.65</v>
      </c>
      <c r="J93" s="102">
        <f t="shared" si="9"/>
        <v>0.65</v>
      </c>
      <c r="K93" s="102">
        <f t="shared" si="9"/>
        <v>0</v>
      </c>
      <c r="L93" s="102">
        <f t="shared" si="9"/>
        <v>9.9269999999999996</v>
      </c>
      <c r="M93" s="102">
        <f t="shared" si="9"/>
        <v>0</v>
      </c>
      <c r="N93" s="102">
        <f t="shared" si="9"/>
        <v>0</v>
      </c>
      <c r="O93" s="102">
        <f t="shared" si="9"/>
        <v>5</v>
      </c>
      <c r="P93" s="102">
        <f t="shared" si="9"/>
        <v>5</v>
      </c>
      <c r="Q93" s="102">
        <f t="shared" si="9"/>
        <v>0</v>
      </c>
      <c r="R93" s="102">
        <f t="shared" si="9"/>
        <v>59</v>
      </c>
      <c r="S93" s="102">
        <f t="shared" si="9"/>
        <v>0</v>
      </c>
      <c r="T93" s="102">
        <f t="shared" si="9"/>
        <v>176.29999999999998</v>
      </c>
      <c r="U93" s="102">
        <f t="shared" si="9"/>
        <v>0</v>
      </c>
      <c r="V93" s="102">
        <f t="shared" si="9"/>
        <v>5.15</v>
      </c>
      <c r="W93" s="102">
        <f t="shared" si="9"/>
        <v>0</v>
      </c>
      <c r="X93" s="102">
        <f t="shared" si="2"/>
        <v>340.22699999999998</v>
      </c>
      <c r="Y93" s="404"/>
    </row>
    <row r="94" spans="1:25" ht="110.25">
      <c r="A94" s="477" t="s">
        <v>144</v>
      </c>
      <c r="B94" s="476" t="s">
        <v>145</v>
      </c>
      <c r="C94" s="476" t="s">
        <v>146</v>
      </c>
      <c r="D94" s="106">
        <v>87</v>
      </c>
      <c r="E94" s="106" t="s">
        <v>147</v>
      </c>
      <c r="F94" s="155"/>
      <c r="G94" s="155"/>
      <c r="H94" s="155"/>
      <c r="I94" s="155"/>
      <c r="J94" s="116">
        <f t="shared" ref="J94:J133" si="10">H94+I94</f>
        <v>0</v>
      </c>
      <c r="K94" s="155"/>
      <c r="L94" s="155"/>
      <c r="M94" s="155"/>
      <c r="N94" s="155"/>
      <c r="O94" s="122">
        <v>18</v>
      </c>
      <c r="P94" s="116">
        <v>18</v>
      </c>
      <c r="Q94" s="155"/>
      <c r="R94" s="155"/>
      <c r="S94" s="155"/>
      <c r="T94" s="155"/>
      <c r="U94" s="155"/>
      <c r="V94" s="155"/>
      <c r="W94" s="117"/>
      <c r="X94" s="117">
        <f t="shared" si="2"/>
        <v>18</v>
      </c>
      <c r="Y94" s="405" t="s">
        <v>598</v>
      </c>
    </row>
    <row r="95" spans="1:25" ht="63">
      <c r="A95" s="469"/>
      <c r="B95" s="469"/>
      <c r="C95" s="469"/>
      <c r="D95" s="106">
        <v>88</v>
      </c>
      <c r="E95" s="106" t="s">
        <v>148</v>
      </c>
      <c r="F95" s="155"/>
      <c r="G95" s="155"/>
      <c r="H95" s="155"/>
      <c r="I95" s="155"/>
      <c r="J95" s="116">
        <f t="shared" si="10"/>
        <v>0</v>
      </c>
      <c r="K95" s="155"/>
      <c r="L95" s="155"/>
      <c r="M95" s="155"/>
      <c r="N95" s="155"/>
      <c r="O95" s="155"/>
      <c r="P95" s="116">
        <f t="shared" ref="P95:P133" si="11">N95+O95</f>
        <v>0</v>
      </c>
      <c r="Q95" s="155"/>
      <c r="R95" s="155"/>
      <c r="S95" s="158"/>
      <c r="T95" s="158">
        <v>8</v>
      </c>
      <c r="U95" s="155"/>
      <c r="V95" s="155"/>
      <c r="W95" s="117"/>
      <c r="X95" s="117">
        <f t="shared" si="2"/>
        <v>8</v>
      </c>
      <c r="Y95" s="405" t="s">
        <v>596</v>
      </c>
    </row>
    <row r="96" spans="1:25" ht="78.75">
      <c r="A96" s="469"/>
      <c r="B96" s="469"/>
      <c r="C96" s="469"/>
      <c r="D96" s="106">
        <v>89</v>
      </c>
      <c r="E96" s="106" t="s">
        <v>149</v>
      </c>
      <c r="F96" s="155"/>
      <c r="G96" s="155"/>
      <c r="H96" s="155"/>
      <c r="I96" s="155"/>
      <c r="J96" s="116">
        <f t="shared" si="10"/>
        <v>0</v>
      </c>
      <c r="K96" s="155"/>
      <c r="L96" s="155"/>
      <c r="M96" s="155"/>
      <c r="N96" s="155"/>
      <c r="O96" s="155"/>
      <c r="P96" s="116">
        <f t="shared" si="11"/>
        <v>0</v>
      </c>
      <c r="Q96" s="155"/>
      <c r="R96" s="155"/>
      <c r="S96" s="155"/>
      <c r="T96" s="155"/>
      <c r="U96" s="155"/>
      <c r="V96" s="155"/>
      <c r="W96" s="117"/>
      <c r="X96" s="117">
        <f t="shared" si="2"/>
        <v>0</v>
      </c>
      <c r="Y96" s="405"/>
    </row>
    <row r="97" spans="1:26" ht="63">
      <c r="A97" s="469"/>
      <c r="B97" s="469"/>
      <c r="C97" s="469"/>
      <c r="D97" s="106">
        <v>90</v>
      </c>
      <c r="E97" s="106" t="s">
        <v>150</v>
      </c>
      <c r="F97" s="155"/>
      <c r="G97" s="155"/>
      <c r="H97" s="155"/>
      <c r="I97" s="155"/>
      <c r="J97" s="116">
        <f t="shared" si="10"/>
        <v>0</v>
      </c>
      <c r="K97" s="155"/>
      <c r="L97" s="155"/>
      <c r="M97" s="155"/>
      <c r="N97" s="155"/>
      <c r="O97" s="155"/>
      <c r="P97" s="116">
        <f t="shared" si="11"/>
        <v>0</v>
      </c>
      <c r="Q97" s="155"/>
      <c r="R97" s="155"/>
      <c r="S97" s="158"/>
      <c r="T97" s="158"/>
      <c r="U97" s="155"/>
      <c r="V97" s="155"/>
      <c r="W97" s="117"/>
      <c r="X97" s="117">
        <f t="shared" si="2"/>
        <v>0</v>
      </c>
      <c r="Y97" s="405"/>
    </row>
    <row r="98" spans="1:26" ht="47.25">
      <c r="A98" s="469"/>
      <c r="B98" s="469"/>
      <c r="C98" s="469"/>
      <c r="D98" s="106">
        <v>91</v>
      </c>
      <c r="E98" s="106" t="s">
        <v>151</v>
      </c>
      <c r="F98" s="155"/>
      <c r="G98" s="120"/>
      <c r="H98" s="120"/>
      <c r="I98" s="120"/>
      <c r="J98" s="116">
        <f t="shared" si="10"/>
        <v>0</v>
      </c>
      <c r="K98" s="120"/>
      <c r="L98" s="120"/>
      <c r="M98" s="120"/>
      <c r="N98" s="120"/>
      <c r="O98" s="122"/>
      <c r="P98" s="117">
        <f t="shared" si="11"/>
        <v>0</v>
      </c>
      <c r="Q98" s="120"/>
      <c r="R98" s="120"/>
      <c r="S98" s="121"/>
      <c r="T98" s="121"/>
      <c r="U98" s="155"/>
      <c r="V98" s="155"/>
      <c r="W98" s="117"/>
      <c r="X98" s="117">
        <f t="shared" si="2"/>
        <v>0</v>
      </c>
      <c r="Y98" s="406"/>
    </row>
    <row r="99" spans="1:26" ht="94.5">
      <c r="A99" s="469"/>
      <c r="B99" s="469"/>
      <c r="C99" s="469"/>
      <c r="D99" s="106">
        <v>92</v>
      </c>
      <c r="E99" s="106" t="s">
        <v>152</v>
      </c>
      <c r="F99" s="155"/>
      <c r="G99" s="155"/>
      <c r="H99" s="155"/>
      <c r="I99" s="155"/>
      <c r="J99" s="116">
        <f t="shared" si="10"/>
        <v>0</v>
      </c>
      <c r="K99" s="155"/>
      <c r="L99" s="155"/>
      <c r="M99" s="155"/>
      <c r="N99" s="155"/>
      <c r="O99" s="155"/>
      <c r="P99" s="116">
        <f t="shared" si="11"/>
        <v>0</v>
      </c>
      <c r="Q99" s="155"/>
      <c r="R99" s="155"/>
      <c r="S99" s="158"/>
      <c r="T99" s="158">
        <v>2.2000000000000002</v>
      </c>
      <c r="U99" s="155"/>
      <c r="V99" s="155"/>
      <c r="W99" s="117"/>
      <c r="X99" s="117">
        <f t="shared" si="2"/>
        <v>2.2000000000000002</v>
      </c>
      <c r="Y99" s="406" t="s">
        <v>621</v>
      </c>
    </row>
    <row r="100" spans="1:26" ht="78.75">
      <c r="A100" s="469"/>
      <c r="B100" s="469"/>
      <c r="C100" s="469"/>
      <c r="D100" s="106">
        <v>93</v>
      </c>
      <c r="E100" s="106" t="s">
        <v>153</v>
      </c>
      <c r="F100" s="155"/>
      <c r="G100" s="155"/>
      <c r="H100" s="155"/>
      <c r="I100" s="155"/>
      <c r="J100" s="116">
        <f t="shared" si="10"/>
        <v>0</v>
      </c>
      <c r="K100" s="158"/>
      <c r="L100" s="343">
        <v>7</v>
      </c>
      <c r="M100" s="155"/>
      <c r="N100" s="155"/>
      <c r="O100" s="155"/>
      <c r="P100" s="116">
        <f t="shared" si="11"/>
        <v>0</v>
      </c>
      <c r="Q100" s="155"/>
      <c r="R100" s="155"/>
      <c r="S100" s="155"/>
      <c r="T100" s="155"/>
      <c r="U100" s="155"/>
      <c r="V100" s="155"/>
      <c r="W100" s="117"/>
      <c r="X100" s="117">
        <f t="shared" si="2"/>
        <v>7</v>
      </c>
      <c r="Y100" s="406" t="s">
        <v>622</v>
      </c>
    </row>
    <row r="101" spans="1:26" ht="78.75">
      <c r="A101" s="469"/>
      <c r="B101" s="469"/>
      <c r="C101" s="469"/>
      <c r="D101" s="106">
        <v>94</v>
      </c>
      <c r="E101" s="106" t="s">
        <v>154</v>
      </c>
      <c r="F101" s="155"/>
      <c r="G101" s="155"/>
      <c r="H101" s="155"/>
      <c r="I101" s="155"/>
      <c r="J101" s="116">
        <f t="shared" si="10"/>
        <v>0</v>
      </c>
      <c r="K101" s="158"/>
      <c r="L101" s="343">
        <v>7</v>
      </c>
      <c r="M101" s="155"/>
      <c r="N101" s="155"/>
      <c r="O101" s="155"/>
      <c r="P101" s="116">
        <f t="shared" si="11"/>
        <v>0</v>
      </c>
      <c r="Q101" s="155"/>
      <c r="R101" s="155"/>
      <c r="S101" s="155"/>
      <c r="T101" s="155"/>
      <c r="U101" s="155"/>
      <c r="V101" s="155"/>
      <c r="W101" s="117"/>
      <c r="X101" s="117">
        <f t="shared" si="2"/>
        <v>7</v>
      </c>
      <c r="Y101" s="406" t="s">
        <v>623</v>
      </c>
    </row>
    <row r="102" spans="1:26" ht="94.5">
      <c r="A102" s="469"/>
      <c r="B102" s="469"/>
      <c r="C102" s="469"/>
      <c r="D102" s="106">
        <v>95</v>
      </c>
      <c r="E102" s="106" t="s">
        <v>155</v>
      </c>
      <c r="F102" s="155"/>
      <c r="G102" s="155"/>
      <c r="H102" s="155"/>
      <c r="I102" s="158"/>
      <c r="J102" s="125">
        <f t="shared" si="10"/>
        <v>0</v>
      </c>
      <c r="K102" s="122"/>
      <c r="L102" s="122"/>
      <c r="M102" s="155"/>
      <c r="N102" s="155"/>
      <c r="O102" s="155"/>
      <c r="P102" s="116">
        <f t="shared" si="11"/>
        <v>0</v>
      </c>
      <c r="Q102" s="155"/>
      <c r="R102" s="155"/>
      <c r="S102" s="155"/>
      <c r="T102" s="155"/>
      <c r="U102" s="155"/>
      <c r="V102" s="155"/>
      <c r="W102" s="117"/>
      <c r="X102" s="117">
        <f t="shared" si="2"/>
        <v>0</v>
      </c>
      <c r="Y102" s="172"/>
    </row>
    <row r="103" spans="1:26" ht="47.25">
      <c r="A103" s="469"/>
      <c r="B103" s="469"/>
      <c r="C103" s="469"/>
      <c r="D103" s="106">
        <v>96</v>
      </c>
      <c r="E103" s="106" t="s">
        <v>156</v>
      </c>
      <c r="F103" s="155"/>
      <c r="G103" s="155"/>
      <c r="H103" s="155"/>
      <c r="I103" s="155"/>
      <c r="J103" s="116">
        <f t="shared" si="10"/>
        <v>0</v>
      </c>
      <c r="K103" s="155"/>
      <c r="L103" s="155"/>
      <c r="M103" s="155"/>
      <c r="N103" s="155"/>
      <c r="O103" s="155"/>
      <c r="P103" s="116">
        <f t="shared" si="11"/>
        <v>0</v>
      </c>
      <c r="Q103" s="155"/>
      <c r="R103" s="155"/>
      <c r="S103" s="120"/>
      <c r="T103" s="120">
        <v>1</v>
      </c>
      <c r="U103" s="155"/>
      <c r="V103" s="155"/>
      <c r="W103" s="117"/>
      <c r="X103" s="117">
        <f t="shared" si="2"/>
        <v>1</v>
      </c>
      <c r="Y103" s="172" t="s">
        <v>157</v>
      </c>
    </row>
    <row r="104" spans="1:26" ht="126">
      <c r="A104" s="469"/>
      <c r="B104" s="476" t="s">
        <v>158</v>
      </c>
      <c r="C104" s="476" t="s">
        <v>159</v>
      </c>
      <c r="D104" s="106">
        <v>97</v>
      </c>
      <c r="E104" s="106" t="s">
        <v>160</v>
      </c>
      <c r="F104" s="140"/>
      <c r="G104" s="140"/>
      <c r="H104" s="140"/>
      <c r="I104" s="140"/>
      <c r="J104" s="116">
        <f t="shared" si="10"/>
        <v>0</v>
      </c>
      <c r="K104" s="162"/>
      <c r="L104" s="162"/>
      <c r="M104" s="140"/>
      <c r="N104" s="140"/>
      <c r="O104" s="162"/>
      <c r="P104" s="117">
        <f t="shared" si="11"/>
        <v>0</v>
      </c>
      <c r="Q104" s="162"/>
      <c r="R104" s="162"/>
      <c r="S104" s="161"/>
      <c r="T104" s="161">
        <v>11.6</v>
      </c>
      <c r="U104" s="140"/>
      <c r="V104" s="140"/>
      <c r="W104" s="117"/>
      <c r="X104" s="117">
        <f t="shared" si="2"/>
        <v>11.6</v>
      </c>
      <c r="Y104" s="172" t="s">
        <v>647</v>
      </c>
    </row>
    <row r="105" spans="1:26" ht="78.75">
      <c r="A105" s="469"/>
      <c r="B105" s="469"/>
      <c r="C105" s="469"/>
      <c r="D105" s="106">
        <v>98</v>
      </c>
      <c r="E105" s="106" t="s">
        <v>44</v>
      </c>
      <c r="F105" s="140"/>
      <c r="G105" s="140"/>
      <c r="H105" s="140"/>
      <c r="I105" s="140"/>
      <c r="J105" s="116">
        <f t="shared" si="10"/>
        <v>0</v>
      </c>
      <c r="K105" s="140"/>
      <c r="L105" s="140"/>
      <c r="M105" s="140"/>
      <c r="N105" s="140"/>
      <c r="O105" s="140"/>
      <c r="P105" s="116">
        <f t="shared" si="11"/>
        <v>0</v>
      </c>
      <c r="Q105" s="140"/>
      <c r="R105" s="140"/>
      <c r="S105" s="140"/>
      <c r="T105" s="140">
        <v>0.36</v>
      </c>
      <c r="U105" s="140"/>
      <c r="V105" s="140"/>
      <c r="W105" s="117"/>
      <c r="X105" s="117">
        <f t="shared" si="2"/>
        <v>0.36</v>
      </c>
      <c r="Y105" s="172" t="s">
        <v>631</v>
      </c>
    </row>
    <row r="106" spans="1:26" ht="31.5">
      <c r="A106" s="469"/>
      <c r="B106" s="478" t="s">
        <v>161</v>
      </c>
      <c r="C106" s="478" t="s">
        <v>162</v>
      </c>
      <c r="D106" s="99">
        <v>99</v>
      </c>
      <c r="E106" s="99" t="s">
        <v>163</v>
      </c>
      <c r="F106" s="393"/>
      <c r="G106" s="393"/>
      <c r="H106" s="393"/>
      <c r="I106" s="394"/>
      <c r="J106" s="101">
        <f t="shared" si="10"/>
        <v>0</v>
      </c>
      <c r="K106" s="395"/>
      <c r="L106" s="395"/>
      <c r="M106" s="393"/>
      <c r="N106" s="393"/>
      <c r="O106" s="395"/>
      <c r="P106" s="102">
        <f t="shared" si="11"/>
        <v>0</v>
      </c>
      <c r="Q106" s="393"/>
      <c r="R106" s="393"/>
      <c r="S106" s="393"/>
      <c r="T106" s="393"/>
      <c r="U106" s="393"/>
      <c r="V106" s="393"/>
      <c r="W106" s="102"/>
      <c r="X106" s="102">
        <f t="shared" si="2"/>
        <v>0</v>
      </c>
      <c r="Y106" s="150"/>
      <c r="Z106" s="11"/>
    </row>
    <row r="107" spans="1:26" ht="31.5">
      <c r="A107" s="469"/>
      <c r="B107" s="469"/>
      <c r="C107" s="469"/>
      <c r="D107" s="106">
        <v>100</v>
      </c>
      <c r="E107" s="106" t="s">
        <v>165</v>
      </c>
      <c r="F107" s="140"/>
      <c r="G107" s="140"/>
      <c r="H107" s="140"/>
      <c r="I107" s="140"/>
      <c r="J107" s="116">
        <f t="shared" si="10"/>
        <v>0</v>
      </c>
      <c r="K107" s="162"/>
      <c r="L107" s="162"/>
      <c r="M107" s="140"/>
      <c r="N107" s="140"/>
      <c r="O107" s="162"/>
      <c r="P107" s="117">
        <f t="shared" si="11"/>
        <v>0</v>
      </c>
      <c r="Q107" s="140"/>
      <c r="R107" s="140"/>
      <c r="S107" s="140"/>
      <c r="T107" s="140"/>
      <c r="U107" s="140"/>
      <c r="V107" s="140"/>
      <c r="W107" s="117"/>
      <c r="X107" s="117">
        <f t="shared" si="2"/>
        <v>0</v>
      </c>
      <c r="Y107" s="150"/>
    </row>
    <row r="108" spans="1:26" ht="31.5">
      <c r="A108" s="469"/>
      <c r="B108" s="469"/>
      <c r="C108" s="469"/>
      <c r="D108" s="106">
        <v>101</v>
      </c>
      <c r="E108" s="106" t="s">
        <v>166</v>
      </c>
      <c r="F108" s="140"/>
      <c r="G108" s="140"/>
      <c r="H108" s="140"/>
      <c r="I108" s="140"/>
      <c r="J108" s="116">
        <f t="shared" si="10"/>
        <v>0</v>
      </c>
      <c r="K108" s="140"/>
      <c r="L108" s="140"/>
      <c r="M108" s="140"/>
      <c r="N108" s="140"/>
      <c r="O108" s="140"/>
      <c r="P108" s="116">
        <f t="shared" si="11"/>
        <v>0</v>
      </c>
      <c r="Q108" s="140"/>
      <c r="R108" s="140"/>
      <c r="S108" s="140"/>
      <c r="T108" s="140"/>
      <c r="U108" s="140"/>
      <c r="V108" s="140"/>
      <c r="W108" s="117"/>
      <c r="X108" s="117">
        <f t="shared" si="2"/>
        <v>0</v>
      </c>
      <c r="Y108" s="150"/>
    </row>
    <row r="109" spans="1:26" ht="94.5">
      <c r="A109" s="469"/>
      <c r="B109" s="469"/>
      <c r="C109" s="469"/>
      <c r="D109" s="106">
        <v>102</v>
      </c>
      <c r="E109" s="106" t="s">
        <v>167</v>
      </c>
      <c r="F109" s="140"/>
      <c r="G109" s="140"/>
      <c r="H109" s="140"/>
      <c r="I109" s="140"/>
      <c r="J109" s="116">
        <f t="shared" si="10"/>
        <v>0</v>
      </c>
      <c r="K109" s="140"/>
      <c r="L109" s="140"/>
      <c r="M109" s="140"/>
      <c r="N109" s="140"/>
      <c r="O109" s="140"/>
      <c r="P109" s="116">
        <f t="shared" si="11"/>
        <v>0</v>
      </c>
      <c r="Q109" s="140"/>
      <c r="R109" s="140"/>
      <c r="S109" s="140"/>
      <c r="T109" s="140">
        <v>1.1000000000000001</v>
      </c>
      <c r="U109" s="140"/>
      <c r="V109" s="140"/>
      <c r="W109" s="117"/>
      <c r="X109" s="117">
        <f t="shared" si="2"/>
        <v>1.1000000000000001</v>
      </c>
      <c r="Y109" s="172" t="s">
        <v>657</v>
      </c>
    </row>
    <row r="110" spans="1:26" ht="63" hidden="1">
      <c r="A110" s="469"/>
      <c r="B110" s="469"/>
      <c r="C110" s="469"/>
      <c r="D110" s="106">
        <v>103</v>
      </c>
      <c r="E110" s="106" t="s">
        <v>44</v>
      </c>
      <c r="F110" s="140"/>
      <c r="G110" s="140"/>
      <c r="H110" s="140"/>
      <c r="I110" s="140"/>
      <c r="J110" s="116">
        <f t="shared" si="10"/>
        <v>0</v>
      </c>
      <c r="K110" s="140"/>
      <c r="L110" s="140"/>
      <c r="M110" s="140"/>
      <c r="N110" s="140"/>
      <c r="O110" s="140"/>
      <c r="P110" s="116">
        <f t="shared" si="11"/>
        <v>0</v>
      </c>
      <c r="Q110" s="140"/>
      <c r="R110" s="140"/>
      <c r="S110" s="161"/>
      <c r="T110" s="161"/>
      <c r="U110" s="161"/>
      <c r="V110" s="161"/>
      <c r="W110" s="117"/>
      <c r="X110" s="117">
        <f t="shared" si="2"/>
        <v>0</v>
      </c>
      <c r="Y110" s="172"/>
    </row>
    <row r="111" spans="1:26" ht="47.25">
      <c r="A111" s="469"/>
      <c r="B111" s="476" t="s">
        <v>168</v>
      </c>
      <c r="C111" s="476" t="s">
        <v>169</v>
      </c>
      <c r="D111" s="106">
        <v>104</v>
      </c>
      <c r="E111" s="106" t="s">
        <v>170</v>
      </c>
      <c r="F111" s="140"/>
      <c r="G111" s="140"/>
      <c r="H111" s="140"/>
      <c r="I111" s="140"/>
      <c r="J111" s="116">
        <f t="shared" si="10"/>
        <v>0</v>
      </c>
      <c r="K111" s="140"/>
      <c r="L111" s="140"/>
      <c r="M111" s="140"/>
      <c r="N111" s="140"/>
      <c r="O111" s="140"/>
      <c r="P111" s="116">
        <f t="shared" si="11"/>
        <v>0</v>
      </c>
      <c r="Q111" s="140"/>
      <c r="R111" s="140"/>
      <c r="S111" s="161"/>
      <c r="T111" s="161"/>
      <c r="U111" s="161"/>
      <c r="V111" s="161"/>
      <c r="W111" s="117"/>
      <c r="X111" s="117">
        <f t="shared" si="2"/>
        <v>0</v>
      </c>
      <c r="Y111" s="172"/>
    </row>
    <row r="112" spans="1:26" ht="157.5">
      <c r="A112" s="469"/>
      <c r="B112" s="469"/>
      <c r="C112" s="469"/>
      <c r="D112" s="106">
        <v>105</v>
      </c>
      <c r="E112" s="106" t="s">
        <v>171</v>
      </c>
      <c r="F112" s="140"/>
      <c r="G112" s="140"/>
      <c r="H112" s="140"/>
      <c r="I112" s="140"/>
      <c r="J112" s="116">
        <f t="shared" si="10"/>
        <v>0</v>
      </c>
      <c r="K112" s="140"/>
      <c r="L112" s="140"/>
      <c r="M112" s="140"/>
      <c r="N112" s="140"/>
      <c r="O112" s="140"/>
      <c r="P112" s="116">
        <f t="shared" si="11"/>
        <v>0</v>
      </c>
      <c r="Q112" s="140"/>
      <c r="R112" s="140"/>
      <c r="S112" s="162"/>
      <c r="T112" s="162">
        <v>2</v>
      </c>
      <c r="U112" s="140"/>
      <c r="V112" s="140"/>
      <c r="W112" s="117"/>
      <c r="X112" s="117">
        <f t="shared" si="2"/>
        <v>2</v>
      </c>
      <c r="Y112" s="172" t="s">
        <v>633</v>
      </c>
    </row>
    <row r="113" spans="1:25" ht="31.5">
      <c r="A113" s="469"/>
      <c r="B113" s="469"/>
      <c r="C113" s="469"/>
      <c r="D113" s="106">
        <v>106</v>
      </c>
      <c r="E113" s="106" t="s">
        <v>172</v>
      </c>
      <c r="F113" s="140"/>
      <c r="G113" s="140"/>
      <c r="H113" s="140"/>
      <c r="I113" s="140"/>
      <c r="J113" s="116">
        <f t="shared" si="10"/>
        <v>0</v>
      </c>
      <c r="K113" s="162"/>
      <c r="L113" s="162"/>
      <c r="M113" s="140"/>
      <c r="N113" s="140"/>
      <c r="O113" s="162"/>
      <c r="P113" s="117">
        <f t="shared" si="11"/>
        <v>0</v>
      </c>
      <c r="Q113" s="140"/>
      <c r="R113" s="140"/>
      <c r="S113" s="161"/>
      <c r="T113" s="161"/>
      <c r="U113" s="118"/>
      <c r="V113" s="118"/>
      <c r="W113" s="117"/>
      <c r="X113" s="117">
        <f t="shared" si="2"/>
        <v>0</v>
      </c>
      <c r="Y113" s="172"/>
    </row>
    <row r="114" spans="1:25" ht="62.25" customHeight="1">
      <c r="A114" s="469"/>
      <c r="B114" s="476" t="s">
        <v>173</v>
      </c>
      <c r="C114" s="476" t="s">
        <v>174</v>
      </c>
      <c r="D114" s="106">
        <v>107</v>
      </c>
      <c r="E114" s="106" t="s">
        <v>175</v>
      </c>
      <c r="F114" s="140"/>
      <c r="G114" s="140"/>
      <c r="H114" s="140"/>
      <c r="I114" s="140"/>
      <c r="J114" s="116">
        <f t="shared" si="10"/>
        <v>0</v>
      </c>
      <c r="K114" s="162"/>
      <c r="L114" s="162"/>
      <c r="M114" s="140"/>
      <c r="N114" s="140"/>
      <c r="O114" s="162"/>
      <c r="P114" s="117">
        <f t="shared" si="11"/>
        <v>0</v>
      </c>
      <c r="Q114" s="140"/>
      <c r="R114" s="140"/>
      <c r="S114" s="161"/>
      <c r="T114" s="161"/>
      <c r="U114" s="140"/>
      <c r="V114" s="140"/>
      <c r="W114" s="117"/>
      <c r="X114" s="117">
        <f t="shared" si="2"/>
        <v>0</v>
      </c>
      <c r="Y114" s="172"/>
    </row>
    <row r="115" spans="1:25" ht="39" customHeight="1">
      <c r="A115" s="469"/>
      <c r="B115" s="469"/>
      <c r="C115" s="469"/>
      <c r="D115" s="106">
        <v>108</v>
      </c>
      <c r="E115" s="106" t="s">
        <v>176</v>
      </c>
      <c r="F115" s="140"/>
      <c r="G115" s="140"/>
      <c r="H115" s="140"/>
      <c r="I115" s="140"/>
      <c r="J115" s="116">
        <f t="shared" si="10"/>
        <v>0</v>
      </c>
      <c r="K115" s="162"/>
      <c r="L115" s="162"/>
      <c r="M115" s="140"/>
      <c r="N115" s="140"/>
      <c r="O115" s="162"/>
      <c r="P115" s="117">
        <f t="shared" si="11"/>
        <v>0</v>
      </c>
      <c r="Q115" s="140"/>
      <c r="R115" s="140"/>
      <c r="S115" s="161"/>
      <c r="T115" s="161"/>
      <c r="U115" s="140"/>
      <c r="V115" s="140"/>
      <c r="W115" s="117"/>
      <c r="X115" s="117">
        <f t="shared" si="2"/>
        <v>0</v>
      </c>
      <c r="Y115" s="172"/>
    </row>
    <row r="116" spans="1:25" ht="36" customHeight="1">
      <c r="A116" s="469"/>
      <c r="B116" s="469"/>
      <c r="C116" s="469"/>
      <c r="D116" s="106">
        <v>109</v>
      </c>
      <c r="E116" s="106" t="s">
        <v>177</v>
      </c>
      <c r="F116" s="140"/>
      <c r="G116" s="140"/>
      <c r="H116" s="140"/>
      <c r="I116" s="161"/>
      <c r="J116" s="125">
        <f t="shared" si="10"/>
        <v>0</v>
      </c>
      <c r="K116" s="162"/>
      <c r="L116" s="162">
        <v>1</v>
      </c>
      <c r="M116" s="140"/>
      <c r="N116" s="140"/>
      <c r="O116" s="162"/>
      <c r="P116" s="117">
        <f t="shared" si="11"/>
        <v>0</v>
      </c>
      <c r="Q116" s="140"/>
      <c r="R116" s="140"/>
      <c r="S116" s="140"/>
      <c r="T116" s="140"/>
      <c r="U116" s="140"/>
      <c r="V116" s="140"/>
      <c r="W116" s="117"/>
      <c r="X116" s="117">
        <f t="shared" si="2"/>
        <v>1</v>
      </c>
      <c r="Y116" s="150" t="s">
        <v>634</v>
      </c>
    </row>
    <row r="117" spans="1:25" ht="47.25">
      <c r="A117" s="469"/>
      <c r="B117" s="469"/>
      <c r="C117" s="469"/>
      <c r="D117" s="106">
        <v>110</v>
      </c>
      <c r="E117" s="106" t="s">
        <v>178</v>
      </c>
      <c r="F117" s="140"/>
      <c r="G117" s="140"/>
      <c r="H117" s="140"/>
      <c r="I117" s="140"/>
      <c r="J117" s="116">
        <f t="shared" si="10"/>
        <v>0</v>
      </c>
      <c r="K117" s="162"/>
      <c r="L117" s="162"/>
      <c r="M117" s="140"/>
      <c r="N117" s="140"/>
      <c r="O117" s="162"/>
      <c r="P117" s="117">
        <f t="shared" si="11"/>
        <v>0</v>
      </c>
      <c r="Q117" s="161"/>
      <c r="R117" s="161"/>
      <c r="S117" s="162"/>
      <c r="T117" s="162"/>
      <c r="U117" s="140"/>
      <c r="V117" s="140"/>
      <c r="W117" s="117"/>
      <c r="X117" s="117">
        <f t="shared" si="2"/>
        <v>0</v>
      </c>
      <c r="Y117" s="172"/>
    </row>
    <row r="118" spans="1:25" ht="63" hidden="1">
      <c r="A118" s="469"/>
      <c r="B118" s="469"/>
      <c r="C118" s="469"/>
      <c r="D118" s="106">
        <v>111</v>
      </c>
      <c r="E118" s="106" t="s">
        <v>44</v>
      </c>
      <c r="F118" s="140"/>
      <c r="G118" s="140"/>
      <c r="H118" s="140"/>
      <c r="I118" s="140"/>
      <c r="J118" s="116">
        <f t="shared" si="10"/>
        <v>0</v>
      </c>
      <c r="K118" s="161"/>
      <c r="L118" s="161"/>
      <c r="M118" s="140"/>
      <c r="N118" s="140"/>
      <c r="O118" s="161"/>
      <c r="P118" s="125">
        <f t="shared" si="11"/>
        <v>0</v>
      </c>
      <c r="Q118" s="140"/>
      <c r="R118" s="140"/>
      <c r="S118" s="161"/>
      <c r="T118" s="161"/>
      <c r="U118" s="161"/>
      <c r="V118" s="161"/>
      <c r="W118" s="117"/>
      <c r="X118" s="117">
        <f t="shared" si="2"/>
        <v>0</v>
      </c>
      <c r="Y118" s="150"/>
    </row>
    <row r="119" spans="1:25" ht="31.5">
      <c r="A119" s="469"/>
      <c r="B119" s="476" t="s">
        <v>179</v>
      </c>
      <c r="C119" s="476" t="s">
        <v>180</v>
      </c>
      <c r="D119" s="106">
        <v>112</v>
      </c>
      <c r="E119" s="106" t="s">
        <v>181</v>
      </c>
      <c r="F119" s="140"/>
      <c r="G119" s="140"/>
      <c r="H119" s="140"/>
      <c r="I119" s="140"/>
      <c r="J119" s="116">
        <f t="shared" si="10"/>
        <v>0</v>
      </c>
      <c r="K119" s="162"/>
      <c r="L119" s="162"/>
      <c r="M119" s="140"/>
      <c r="N119" s="140"/>
      <c r="O119" s="162"/>
      <c r="P119" s="117">
        <f t="shared" si="11"/>
        <v>0</v>
      </c>
      <c r="Q119" s="140"/>
      <c r="R119" s="140"/>
      <c r="S119" s="140"/>
      <c r="T119" s="140"/>
      <c r="U119" s="140"/>
      <c r="V119" s="140"/>
      <c r="W119" s="117"/>
      <c r="X119" s="117">
        <f t="shared" si="2"/>
        <v>0</v>
      </c>
      <c r="Y119" s="150"/>
    </row>
    <row r="120" spans="1:25" ht="47.25">
      <c r="A120" s="469"/>
      <c r="B120" s="469"/>
      <c r="C120" s="469"/>
      <c r="D120" s="106">
        <v>113</v>
      </c>
      <c r="E120" s="106" t="s">
        <v>182</v>
      </c>
      <c r="F120" s="140"/>
      <c r="G120" s="140"/>
      <c r="H120" s="140"/>
      <c r="I120" s="140"/>
      <c r="J120" s="116">
        <f t="shared" si="10"/>
        <v>0</v>
      </c>
      <c r="K120" s="162"/>
      <c r="L120" s="162"/>
      <c r="M120" s="140"/>
      <c r="N120" s="140"/>
      <c r="O120" s="162"/>
      <c r="P120" s="117">
        <f t="shared" si="11"/>
        <v>0</v>
      </c>
      <c r="Q120" s="162"/>
      <c r="R120" s="162"/>
      <c r="S120" s="140"/>
      <c r="T120" s="140"/>
      <c r="U120" s="140"/>
      <c r="V120" s="140"/>
      <c r="W120" s="117"/>
      <c r="X120" s="117">
        <f t="shared" si="2"/>
        <v>0</v>
      </c>
      <c r="Y120" s="150"/>
    </row>
    <row r="121" spans="1:25" ht="189">
      <c r="A121" s="469"/>
      <c r="B121" s="106" t="s">
        <v>183</v>
      </c>
      <c r="C121" s="106" t="s">
        <v>184</v>
      </c>
      <c r="D121" s="106">
        <v>114</v>
      </c>
      <c r="E121" s="106" t="s">
        <v>185</v>
      </c>
      <c r="F121" s="140"/>
      <c r="G121" s="140"/>
      <c r="H121" s="140"/>
      <c r="I121" s="161">
        <v>14</v>
      </c>
      <c r="J121" s="125">
        <f t="shared" si="10"/>
        <v>14</v>
      </c>
      <c r="K121" s="140"/>
      <c r="L121" s="140">
        <v>0.7</v>
      </c>
      <c r="M121" s="140"/>
      <c r="N121" s="140"/>
      <c r="O121" s="140"/>
      <c r="P121" s="116">
        <f t="shared" si="11"/>
        <v>0</v>
      </c>
      <c r="Q121" s="140"/>
      <c r="R121" s="140"/>
      <c r="S121" s="140"/>
      <c r="T121" s="140">
        <v>3</v>
      </c>
      <c r="U121" s="161"/>
      <c r="V121" s="161"/>
      <c r="W121" s="117"/>
      <c r="X121" s="117">
        <f t="shared" si="2"/>
        <v>17.7</v>
      </c>
      <c r="Y121" s="98" t="s">
        <v>635</v>
      </c>
    </row>
    <row r="122" spans="1:25" ht="31.5">
      <c r="A122" s="469"/>
      <c r="B122" s="476" t="s">
        <v>186</v>
      </c>
      <c r="C122" s="476" t="s">
        <v>187</v>
      </c>
      <c r="D122" s="106">
        <v>115</v>
      </c>
      <c r="E122" s="106" t="s">
        <v>188</v>
      </c>
      <c r="F122" s="140"/>
      <c r="G122" s="140"/>
      <c r="H122" s="140"/>
      <c r="I122" s="140"/>
      <c r="J122" s="116">
        <f t="shared" si="10"/>
        <v>0</v>
      </c>
      <c r="K122" s="140"/>
      <c r="L122" s="140"/>
      <c r="M122" s="140"/>
      <c r="N122" s="140"/>
      <c r="O122" s="140"/>
      <c r="P122" s="116">
        <f t="shared" si="11"/>
        <v>0</v>
      </c>
      <c r="Q122" s="162"/>
      <c r="R122" s="162"/>
      <c r="S122" s="140"/>
      <c r="T122" s="140">
        <v>1.5</v>
      </c>
      <c r="U122" s="140"/>
      <c r="V122" s="140"/>
      <c r="W122" s="117"/>
      <c r="X122" s="117">
        <f t="shared" si="2"/>
        <v>1.5</v>
      </c>
      <c r="Y122" s="172" t="s">
        <v>636</v>
      </c>
    </row>
    <row r="123" spans="1:25" ht="47.25">
      <c r="A123" s="469"/>
      <c r="B123" s="469"/>
      <c r="C123" s="469"/>
      <c r="D123" s="106">
        <v>116</v>
      </c>
      <c r="E123" s="106" t="s">
        <v>189</v>
      </c>
      <c r="F123" s="140"/>
      <c r="G123" s="140"/>
      <c r="H123" s="140"/>
      <c r="I123" s="140"/>
      <c r="J123" s="116">
        <f t="shared" si="10"/>
        <v>0</v>
      </c>
      <c r="K123" s="140"/>
      <c r="L123" s="140"/>
      <c r="M123" s="140"/>
      <c r="N123" s="140"/>
      <c r="O123" s="140"/>
      <c r="P123" s="116">
        <f t="shared" si="11"/>
        <v>0</v>
      </c>
      <c r="Q123" s="162"/>
      <c r="R123" s="162">
        <v>5.7</v>
      </c>
      <c r="S123" s="140"/>
      <c r="T123" s="140"/>
      <c r="U123" s="140"/>
      <c r="V123" s="140"/>
      <c r="W123" s="117"/>
      <c r="X123" s="117">
        <f t="shared" si="2"/>
        <v>5.7</v>
      </c>
      <c r="Y123" s="172" t="s">
        <v>637</v>
      </c>
    </row>
    <row r="124" spans="1:25" ht="47.25">
      <c r="A124" s="469"/>
      <c r="B124" s="469"/>
      <c r="C124" s="469"/>
      <c r="D124" s="106">
        <v>117</v>
      </c>
      <c r="E124" s="106" t="s">
        <v>190</v>
      </c>
      <c r="F124" s="140"/>
      <c r="G124" s="140"/>
      <c r="H124" s="140"/>
      <c r="I124" s="140"/>
      <c r="J124" s="116">
        <f t="shared" si="10"/>
        <v>0</v>
      </c>
      <c r="K124" s="140"/>
      <c r="L124" s="140"/>
      <c r="M124" s="140"/>
      <c r="N124" s="140"/>
      <c r="O124" s="140"/>
      <c r="P124" s="116">
        <f t="shared" si="11"/>
        <v>0</v>
      </c>
      <c r="Q124" s="140"/>
      <c r="R124" s="140"/>
      <c r="S124" s="140"/>
      <c r="T124" s="140"/>
      <c r="U124" s="140"/>
      <c r="V124" s="140"/>
      <c r="W124" s="162"/>
      <c r="X124" s="117">
        <f t="shared" si="2"/>
        <v>0</v>
      </c>
      <c r="Y124" s="172"/>
    </row>
    <row r="125" spans="1:25" ht="63" hidden="1">
      <c r="A125" s="469"/>
      <c r="B125" s="469"/>
      <c r="C125" s="469"/>
      <c r="D125" s="106">
        <v>118</v>
      </c>
      <c r="E125" s="106" t="s">
        <v>44</v>
      </c>
      <c r="F125" s="140"/>
      <c r="G125" s="140"/>
      <c r="H125" s="140"/>
      <c r="I125" s="140"/>
      <c r="J125" s="116">
        <f t="shared" si="10"/>
        <v>0</v>
      </c>
      <c r="K125" s="140"/>
      <c r="L125" s="140"/>
      <c r="M125" s="140"/>
      <c r="N125" s="140"/>
      <c r="O125" s="140"/>
      <c r="P125" s="116">
        <f t="shared" si="11"/>
        <v>0</v>
      </c>
      <c r="Q125" s="140"/>
      <c r="R125" s="140"/>
      <c r="S125" s="140"/>
      <c r="T125" s="140"/>
      <c r="U125" s="140"/>
      <c r="V125" s="140"/>
      <c r="W125" s="162"/>
      <c r="X125" s="117">
        <f t="shared" si="2"/>
        <v>0</v>
      </c>
      <c r="Y125" s="172"/>
    </row>
    <row r="126" spans="1:25" ht="126">
      <c r="A126" s="469"/>
      <c r="B126" s="106" t="s">
        <v>191</v>
      </c>
      <c r="C126" s="106" t="s">
        <v>192</v>
      </c>
      <c r="D126" s="106">
        <v>119</v>
      </c>
      <c r="E126" s="106" t="s">
        <v>193</v>
      </c>
      <c r="F126" s="140"/>
      <c r="G126" s="140"/>
      <c r="H126" s="140"/>
      <c r="I126" s="161"/>
      <c r="J126" s="125">
        <f t="shared" si="10"/>
        <v>0</v>
      </c>
      <c r="K126" s="162"/>
      <c r="L126" s="162"/>
      <c r="M126" s="140"/>
      <c r="N126" s="140"/>
      <c r="O126" s="140"/>
      <c r="P126" s="116">
        <f t="shared" si="11"/>
        <v>0</v>
      </c>
      <c r="Q126" s="140"/>
      <c r="R126" s="140"/>
      <c r="S126" s="161"/>
      <c r="T126" s="161">
        <v>5</v>
      </c>
      <c r="U126" s="140"/>
      <c r="V126" s="140"/>
      <c r="W126" s="117"/>
      <c r="X126" s="117">
        <f t="shared" si="2"/>
        <v>5</v>
      </c>
      <c r="Y126" s="98" t="s">
        <v>638</v>
      </c>
    </row>
    <row r="127" spans="1:25" ht="204.75">
      <c r="A127" s="469"/>
      <c r="B127" s="106" t="s">
        <v>194</v>
      </c>
      <c r="C127" s="106" t="s">
        <v>195</v>
      </c>
      <c r="D127" s="106">
        <v>120</v>
      </c>
      <c r="E127" s="106" t="s">
        <v>196</v>
      </c>
      <c r="F127" s="140"/>
      <c r="G127" s="140"/>
      <c r="H127" s="140"/>
      <c r="I127" s="140"/>
      <c r="J127" s="116">
        <f t="shared" si="10"/>
        <v>0</v>
      </c>
      <c r="K127" s="140"/>
      <c r="L127" s="140"/>
      <c r="M127" s="140"/>
      <c r="N127" s="140"/>
      <c r="O127" s="161"/>
      <c r="P127" s="125">
        <f t="shared" si="11"/>
        <v>0</v>
      </c>
      <c r="Q127" s="161"/>
      <c r="R127" s="161"/>
      <c r="S127" s="161"/>
      <c r="T127" s="161"/>
      <c r="U127" s="140"/>
      <c r="V127" s="140"/>
      <c r="W127" s="117"/>
      <c r="X127" s="117">
        <f t="shared" si="2"/>
        <v>0</v>
      </c>
      <c r="Y127" s="172"/>
    </row>
    <row r="128" spans="1:25" ht="31.5">
      <c r="A128" s="469"/>
      <c r="B128" s="476" t="s">
        <v>197</v>
      </c>
      <c r="C128" s="476" t="s">
        <v>198</v>
      </c>
      <c r="D128" s="106">
        <v>121</v>
      </c>
      <c r="E128" s="106" t="s">
        <v>199</v>
      </c>
      <c r="F128" s="140"/>
      <c r="G128" s="140"/>
      <c r="H128" s="140"/>
      <c r="I128" s="140"/>
      <c r="J128" s="116">
        <f t="shared" si="10"/>
        <v>0</v>
      </c>
      <c r="K128" s="162"/>
      <c r="L128" s="162"/>
      <c r="M128" s="140"/>
      <c r="N128" s="140"/>
      <c r="O128" s="140"/>
      <c r="P128" s="116">
        <f t="shared" si="11"/>
        <v>0</v>
      </c>
      <c r="Q128" s="140"/>
      <c r="R128" s="140"/>
      <c r="S128" s="140"/>
      <c r="T128" s="140"/>
      <c r="U128" s="140"/>
      <c r="V128" s="140"/>
      <c r="W128" s="117"/>
      <c r="X128" s="117">
        <f t="shared" si="2"/>
        <v>0</v>
      </c>
      <c r="Y128" s="172"/>
    </row>
    <row r="129" spans="1:25" ht="31.5">
      <c r="A129" s="469"/>
      <c r="B129" s="469"/>
      <c r="C129" s="469"/>
      <c r="D129" s="106">
        <v>122</v>
      </c>
      <c r="E129" s="106" t="s">
        <v>200</v>
      </c>
      <c r="F129" s="140"/>
      <c r="G129" s="140"/>
      <c r="H129" s="140"/>
      <c r="I129" s="140"/>
      <c r="J129" s="116">
        <f t="shared" si="10"/>
        <v>0</v>
      </c>
      <c r="K129" s="140"/>
      <c r="L129" s="140"/>
      <c r="M129" s="140"/>
      <c r="N129" s="140"/>
      <c r="O129" s="140"/>
      <c r="P129" s="116">
        <f t="shared" si="11"/>
        <v>0</v>
      </c>
      <c r="Q129" s="140"/>
      <c r="R129" s="140"/>
      <c r="S129" s="140"/>
      <c r="T129" s="140"/>
      <c r="U129" s="140"/>
      <c r="V129" s="140"/>
      <c r="W129" s="117"/>
      <c r="X129" s="117">
        <f t="shared" si="2"/>
        <v>0</v>
      </c>
      <c r="Y129" s="172"/>
    </row>
    <row r="130" spans="1:25" ht="25.5" hidden="1" customHeight="1">
      <c r="A130" s="469"/>
      <c r="B130" s="469"/>
      <c r="C130" s="469"/>
      <c r="D130" s="106">
        <v>123</v>
      </c>
      <c r="E130" s="106" t="s">
        <v>201</v>
      </c>
      <c r="F130" s="140"/>
      <c r="G130" s="140"/>
      <c r="H130" s="140"/>
      <c r="I130" s="140"/>
      <c r="J130" s="116">
        <f t="shared" si="10"/>
        <v>0</v>
      </c>
      <c r="K130" s="140"/>
      <c r="L130" s="140"/>
      <c r="M130" s="140"/>
      <c r="N130" s="140"/>
      <c r="O130" s="140"/>
      <c r="P130" s="116">
        <f t="shared" si="11"/>
        <v>0</v>
      </c>
      <c r="Q130" s="140"/>
      <c r="R130" s="140"/>
      <c r="S130" s="161"/>
      <c r="T130" s="161"/>
      <c r="U130" s="140"/>
      <c r="V130" s="140"/>
      <c r="W130" s="117"/>
      <c r="X130" s="117">
        <f t="shared" si="2"/>
        <v>0</v>
      </c>
      <c r="Y130" s="172"/>
    </row>
    <row r="131" spans="1:25" ht="31.5">
      <c r="A131" s="469"/>
      <c r="B131" s="476" t="s">
        <v>202</v>
      </c>
      <c r="C131" s="476" t="s">
        <v>203</v>
      </c>
      <c r="D131" s="106">
        <v>124</v>
      </c>
      <c r="E131" s="106" t="s">
        <v>204</v>
      </c>
      <c r="F131" s="140"/>
      <c r="G131" s="140"/>
      <c r="H131" s="140"/>
      <c r="I131" s="161"/>
      <c r="J131" s="125">
        <f t="shared" si="10"/>
        <v>0</v>
      </c>
      <c r="K131" s="140"/>
      <c r="L131" s="140"/>
      <c r="M131" s="140"/>
      <c r="N131" s="140"/>
      <c r="O131" s="140"/>
      <c r="P131" s="116">
        <f t="shared" si="11"/>
        <v>0</v>
      </c>
      <c r="Q131" s="140"/>
      <c r="R131" s="140"/>
      <c r="S131" s="140"/>
      <c r="T131" s="140"/>
      <c r="U131" s="140"/>
      <c r="V131" s="140"/>
      <c r="W131" s="117"/>
      <c r="X131" s="117">
        <f t="shared" si="2"/>
        <v>0</v>
      </c>
      <c r="Y131" s="150"/>
    </row>
    <row r="132" spans="1:25" ht="46.5" customHeight="1">
      <c r="A132" s="469"/>
      <c r="B132" s="469"/>
      <c r="C132" s="469"/>
      <c r="D132" s="106">
        <v>125</v>
      </c>
      <c r="E132" s="106" t="s">
        <v>205</v>
      </c>
      <c r="F132" s="140"/>
      <c r="G132" s="140"/>
      <c r="H132" s="140"/>
      <c r="I132" s="161"/>
      <c r="J132" s="125">
        <f t="shared" si="10"/>
        <v>0</v>
      </c>
      <c r="K132" s="140"/>
      <c r="L132" s="140"/>
      <c r="M132" s="140"/>
      <c r="N132" s="140"/>
      <c r="O132" s="140"/>
      <c r="P132" s="116">
        <f t="shared" si="11"/>
        <v>0</v>
      </c>
      <c r="Q132" s="140"/>
      <c r="R132" s="140"/>
      <c r="S132" s="140"/>
      <c r="T132" s="140"/>
      <c r="U132" s="140"/>
      <c r="V132" s="140"/>
      <c r="W132" s="117"/>
      <c r="X132" s="117">
        <f t="shared" si="2"/>
        <v>0</v>
      </c>
      <c r="Y132" s="150"/>
    </row>
    <row r="133" spans="1:25" ht="57.75" hidden="1" customHeight="1">
      <c r="A133" s="469"/>
      <c r="B133" s="106" t="s">
        <v>206</v>
      </c>
      <c r="C133" s="106" t="s">
        <v>207</v>
      </c>
      <c r="D133" s="106">
        <v>126</v>
      </c>
      <c r="E133" s="106" t="s">
        <v>142</v>
      </c>
      <c r="F133" s="120"/>
      <c r="G133" s="120"/>
      <c r="H133" s="120"/>
      <c r="I133" s="120"/>
      <c r="J133" s="116">
        <f t="shared" si="10"/>
        <v>0</v>
      </c>
      <c r="K133" s="120"/>
      <c r="L133" s="120"/>
      <c r="M133" s="120"/>
      <c r="N133" s="120"/>
      <c r="O133" s="120"/>
      <c r="P133" s="116">
        <f t="shared" si="11"/>
        <v>0</v>
      </c>
      <c r="Q133" s="120"/>
      <c r="R133" s="120"/>
      <c r="S133" s="120"/>
      <c r="T133" s="120"/>
      <c r="U133" s="120"/>
      <c r="V133" s="120"/>
      <c r="W133" s="117"/>
      <c r="X133" s="117">
        <f t="shared" si="2"/>
        <v>0</v>
      </c>
      <c r="Y133" s="172"/>
    </row>
    <row r="134" spans="1:25" ht="26.25" customHeight="1">
      <c r="A134" s="469"/>
      <c r="B134" s="476" t="s">
        <v>208</v>
      </c>
      <c r="C134" s="469"/>
      <c r="D134" s="469"/>
      <c r="E134" s="106"/>
      <c r="F134" s="100">
        <f t="shared" ref="F134:W134" si="12">SUM(F94:F133)</f>
        <v>0</v>
      </c>
      <c r="G134" s="100">
        <f t="shared" si="12"/>
        <v>0</v>
      </c>
      <c r="H134" s="100">
        <f t="shared" si="12"/>
        <v>0</v>
      </c>
      <c r="I134" s="100">
        <f t="shared" si="12"/>
        <v>14</v>
      </c>
      <c r="J134" s="100">
        <f t="shared" si="12"/>
        <v>14</v>
      </c>
      <c r="K134" s="100">
        <f t="shared" si="12"/>
        <v>0</v>
      </c>
      <c r="L134" s="100">
        <f t="shared" si="12"/>
        <v>15.7</v>
      </c>
      <c r="M134" s="100">
        <f t="shared" si="12"/>
        <v>0</v>
      </c>
      <c r="N134" s="100">
        <f t="shared" si="12"/>
        <v>0</v>
      </c>
      <c r="O134" s="102">
        <f t="shared" si="12"/>
        <v>18</v>
      </c>
      <c r="P134" s="100">
        <f t="shared" si="12"/>
        <v>18</v>
      </c>
      <c r="Q134" s="100">
        <f t="shared" si="12"/>
        <v>0</v>
      </c>
      <c r="R134" s="100">
        <f t="shared" si="12"/>
        <v>5.7</v>
      </c>
      <c r="S134" s="100">
        <f t="shared" si="12"/>
        <v>0</v>
      </c>
      <c r="T134" s="100">
        <f t="shared" si="12"/>
        <v>35.76</v>
      </c>
      <c r="U134" s="100">
        <f t="shared" si="12"/>
        <v>0</v>
      </c>
      <c r="V134" s="100">
        <f t="shared" si="12"/>
        <v>0</v>
      </c>
      <c r="W134" s="102">
        <f t="shared" si="12"/>
        <v>0</v>
      </c>
      <c r="X134" s="102">
        <f t="shared" si="2"/>
        <v>89.16</v>
      </c>
      <c r="Y134" s="402"/>
    </row>
    <row r="135" spans="1:25" ht="110.25">
      <c r="A135" s="477" t="s">
        <v>209</v>
      </c>
      <c r="B135" s="476" t="s">
        <v>210</v>
      </c>
      <c r="C135" s="476" t="s">
        <v>211</v>
      </c>
      <c r="D135" s="106">
        <v>127</v>
      </c>
      <c r="E135" s="106" t="s">
        <v>212</v>
      </c>
      <c r="F135" s="120"/>
      <c r="G135" s="120"/>
      <c r="H135" s="120"/>
      <c r="I135" s="120"/>
      <c r="J135" s="116">
        <f t="shared" ref="J135:J157" si="13">H135+I135</f>
        <v>0</v>
      </c>
      <c r="K135" s="120"/>
      <c r="L135" s="120"/>
      <c r="M135" s="120"/>
      <c r="N135" s="120"/>
      <c r="O135" s="120"/>
      <c r="P135" s="116">
        <f t="shared" ref="P135:P157" si="14">N135+O135</f>
        <v>0</v>
      </c>
      <c r="Q135" s="120"/>
      <c r="R135" s="120"/>
      <c r="S135" s="120"/>
      <c r="T135" s="120"/>
      <c r="U135" s="120"/>
      <c r="V135" s="120"/>
      <c r="W135" s="117"/>
      <c r="X135" s="117">
        <f t="shared" si="2"/>
        <v>0</v>
      </c>
      <c r="Y135" s="172"/>
    </row>
    <row r="136" spans="1:25" ht="39" customHeight="1">
      <c r="A136" s="469"/>
      <c r="B136" s="469"/>
      <c r="C136" s="469"/>
      <c r="D136" s="106">
        <v>128</v>
      </c>
      <c r="E136" s="106" t="s">
        <v>213</v>
      </c>
      <c r="F136" s="120"/>
      <c r="G136" s="120"/>
      <c r="H136" s="120"/>
      <c r="I136" s="120"/>
      <c r="J136" s="116">
        <f t="shared" si="13"/>
        <v>0</v>
      </c>
      <c r="K136" s="120"/>
      <c r="L136" s="120"/>
      <c r="M136" s="120"/>
      <c r="N136" s="120"/>
      <c r="O136" s="122"/>
      <c r="P136" s="117">
        <f t="shared" si="14"/>
        <v>0</v>
      </c>
      <c r="Q136" s="120"/>
      <c r="R136" s="120"/>
      <c r="S136" s="163"/>
      <c r="T136" s="163"/>
      <c r="U136" s="120"/>
      <c r="V136" s="120"/>
      <c r="W136" s="117"/>
      <c r="X136" s="117">
        <f t="shared" si="2"/>
        <v>0</v>
      </c>
      <c r="Y136" s="172"/>
    </row>
    <row r="137" spans="1:25" ht="63">
      <c r="A137" s="469"/>
      <c r="B137" s="106"/>
      <c r="C137" s="106"/>
      <c r="D137" s="106">
        <v>129</v>
      </c>
      <c r="E137" s="106" t="s">
        <v>214</v>
      </c>
      <c r="F137" s="120"/>
      <c r="G137" s="120"/>
      <c r="H137" s="120"/>
      <c r="I137" s="120"/>
      <c r="J137" s="116">
        <f t="shared" si="13"/>
        <v>0</v>
      </c>
      <c r="K137" s="120"/>
      <c r="L137" s="120"/>
      <c r="M137" s="120"/>
      <c r="N137" s="120"/>
      <c r="O137" s="120"/>
      <c r="P137" s="116">
        <f t="shared" si="14"/>
        <v>0</v>
      </c>
      <c r="Q137" s="120"/>
      <c r="R137" s="120"/>
      <c r="S137" s="120"/>
      <c r="T137" s="120"/>
      <c r="U137" s="120"/>
      <c r="V137" s="120"/>
      <c r="W137" s="117"/>
      <c r="X137" s="117">
        <f t="shared" si="2"/>
        <v>0</v>
      </c>
      <c r="Y137" s="172"/>
    </row>
    <row r="138" spans="1:25" ht="110.25">
      <c r="A138" s="469"/>
      <c r="B138" s="476" t="s">
        <v>215</v>
      </c>
      <c r="C138" s="476" t="s">
        <v>216</v>
      </c>
      <c r="D138" s="106">
        <v>130</v>
      </c>
      <c r="E138" s="106" t="s">
        <v>217</v>
      </c>
      <c r="F138" s="120"/>
      <c r="G138" s="120"/>
      <c r="H138" s="120"/>
      <c r="I138" s="120"/>
      <c r="J138" s="116">
        <f t="shared" si="13"/>
        <v>0</v>
      </c>
      <c r="K138" s="120"/>
      <c r="L138" s="120"/>
      <c r="M138" s="120"/>
      <c r="N138" s="120"/>
      <c r="O138" s="120"/>
      <c r="P138" s="116">
        <f t="shared" si="14"/>
        <v>0</v>
      </c>
      <c r="Q138" s="120"/>
      <c r="R138" s="120"/>
      <c r="S138" s="120"/>
      <c r="T138" s="120"/>
      <c r="U138" s="120"/>
      <c r="V138" s="120"/>
      <c r="W138" s="117"/>
      <c r="X138" s="117">
        <f t="shared" si="2"/>
        <v>0</v>
      </c>
      <c r="Y138" s="172"/>
    </row>
    <row r="139" spans="1:25" ht="15.75">
      <c r="A139" s="469"/>
      <c r="B139" s="469"/>
      <c r="C139" s="469"/>
      <c r="D139" s="106">
        <v>131</v>
      </c>
      <c r="E139" s="106" t="s">
        <v>218</v>
      </c>
      <c r="F139" s="120"/>
      <c r="G139" s="120"/>
      <c r="H139" s="120"/>
      <c r="I139" s="120"/>
      <c r="J139" s="116">
        <f t="shared" si="13"/>
        <v>0</v>
      </c>
      <c r="K139" s="120"/>
      <c r="L139" s="120"/>
      <c r="M139" s="120"/>
      <c r="N139" s="120"/>
      <c r="O139" s="120"/>
      <c r="P139" s="116">
        <f t="shared" si="14"/>
        <v>0</v>
      </c>
      <c r="Q139" s="120"/>
      <c r="R139" s="120"/>
      <c r="S139" s="120"/>
      <c r="T139" s="140"/>
      <c r="U139" s="120"/>
      <c r="V139" s="120"/>
      <c r="W139" s="117"/>
      <c r="X139" s="117">
        <f t="shared" si="2"/>
        <v>0</v>
      </c>
      <c r="Y139" s="172"/>
    </row>
    <row r="140" spans="1:25" ht="15.75">
      <c r="A140" s="469"/>
      <c r="B140" s="469"/>
      <c r="C140" s="469"/>
      <c r="D140" s="106">
        <v>132</v>
      </c>
      <c r="E140" s="106" t="s">
        <v>219</v>
      </c>
      <c r="F140" s="120"/>
      <c r="G140" s="120"/>
      <c r="H140" s="120"/>
      <c r="I140" s="120"/>
      <c r="J140" s="116">
        <f t="shared" si="13"/>
        <v>0</v>
      </c>
      <c r="K140" s="120"/>
      <c r="L140" s="120"/>
      <c r="M140" s="120"/>
      <c r="N140" s="120"/>
      <c r="O140" s="120"/>
      <c r="P140" s="116">
        <f t="shared" si="14"/>
        <v>0</v>
      </c>
      <c r="Q140" s="120"/>
      <c r="R140" s="120"/>
      <c r="S140" s="120"/>
      <c r="T140" s="120"/>
      <c r="U140" s="120"/>
      <c r="V140" s="120"/>
      <c r="W140" s="117"/>
      <c r="X140" s="117">
        <f t="shared" si="2"/>
        <v>0</v>
      </c>
      <c r="Y140" s="172"/>
    </row>
    <row r="141" spans="1:25" ht="15.75">
      <c r="A141" s="469"/>
      <c r="B141" s="469"/>
      <c r="C141" s="469"/>
      <c r="D141" s="106">
        <v>133</v>
      </c>
      <c r="E141" s="106" t="s">
        <v>220</v>
      </c>
      <c r="F141" s="120"/>
      <c r="G141" s="120"/>
      <c r="H141" s="120"/>
      <c r="I141" s="120"/>
      <c r="J141" s="116">
        <f t="shared" si="13"/>
        <v>0</v>
      </c>
      <c r="K141" s="120"/>
      <c r="L141" s="120"/>
      <c r="M141" s="120"/>
      <c r="N141" s="120"/>
      <c r="O141" s="120"/>
      <c r="P141" s="116">
        <f t="shared" si="14"/>
        <v>0</v>
      </c>
      <c r="Q141" s="120"/>
      <c r="R141" s="120"/>
      <c r="S141" s="120"/>
      <c r="T141" s="120"/>
      <c r="U141" s="120"/>
      <c r="V141" s="120"/>
      <c r="W141" s="117"/>
      <c r="X141" s="117">
        <f t="shared" si="2"/>
        <v>0</v>
      </c>
      <c r="Y141" s="172"/>
    </row>
    <row r="142" spans="1:25" ht="132.75" customHeight="1">
      <c r="A142" s="469"/>
      <c r="B142" s="469"/>
      <c r="C142" s="469"/>
      <c r="D142" s="106">
        <v>134</v>
      </c>
      <c r="E142" s="106" t="s">
        <v>221</v>
      </c>
      <c r="F142" s="120"/>
      <c r="G142" s="120"/>
      <c r="H142" s="120"/>
      <c r="I142" s="120"/>
      <c r="J142" s="116">
        <f t="shared" si="13"/>
        <v>0</v>
      </c>
      <c r="K142" s="120"/>
      <c r="L142" s="120"/>
      <c r="M142" s="120"/>
      <c r="N142" s="120"/>
      <c r="O142" s="120"/>
      <c r="P142" s="116">
        <f t="shared" si="14"/>
        <v>0</v>
      </c>
      <c r="Q142" s="120"/>
      <c r="R142" s="120"/>
      <c r="S142" s="122"/>
      <c r="T142" s="122">
        <f>(12*0.025*12)</f>
        <v>3.6000000000000005</v>
      </c>
      <c r="U142" s="120"/>
      <c r="V142" s="120"/>
      <c r="W142" s="117"/>
      <c r="X142" s="117">
        <f t="shared" si="2"/>
        <v>3.6000000000000005</v>
      </c>
      <c r="Y142" s="164" t="s">
        <v>668</v>
      </c>
    </row>
    <row r="143" spans="1:25" ht="63">
      <c r="A143" s="469"/>
      <c r="B143" s="469"/>
      <c r="C143" s="469"/>
      <c r="D143" s="106">
        <v>135</v>
      </c>
      <c r="E143" s="106" t="s">
        <v>223</v>
      </c>
      <c r="F143" s="120"/>
      <c r="G143" s="120"/>
      <c r="H143" s="120"/>
      <c r="I143" s="120"/>
      <c r="J143" s="116">
        <f t="shared" si="13"/>
        <v>0</v>
      </c>
      <c r="K143" s="120"/>
      <c r="L143" s="120"/>
      <c r="M143" s="120"/>
      <c r="N143" s="120"/>
      <c r="O143" s="120"/>
      <c r="P143" s="116">
        <f t="shared" si="14"/>
        <v>0</v>
      </c>
      <c r="Q143" s="120"/>
      <c r="R143" s="120"/>
      <c r="S143" s="120"/>
      <c r="T143" s="120"/>
      <c r="U143" s="120"/>
      <c r="V143" s="120"/>
      <c r="W143" s="117"/>
      <c r="X143" s="117">
        <f t="shared" si="2"/>
        <v>0</v>
      </c>
      <c r="Y143" s="172"/>
    </row>
    <row r="144" spans="1:25" ht="63">
      <c r="A144" s="469"/>
      <c r="B144" s="469"/>
      <c r="C144" s="469"/>
      <c r="D144" s="106">
        <v>136</v>
      </c>
      <c r="E144" s="106" t="s">
        <v>224</v>
      </c>
      <c r="F144" s="120"/>
      <c r="G144" s="120"/>
      <c r="H144" s="120"/>
      <c r="I144" s="120"/>
      <c r="J144" s="116">
        <f t="shared" si="13"/>
        <v>0</v>
      </c>
      <c r="K144" s="120"/>
      <c r="L144" s="120"/>
      <c r="M144" s="120"/>
      <c r="N144" s="120"/>
      <c r="O144" s="120"/>
      <c r="P144" s="116">
        <f t="shared" si="14"/>
        <v>0</v>
      </c>
      <c r="Q144" s="120"/>
      <c r="R144" s="120"/>
      <c r="S144" s="122"/>
      <c r="T144" s="122"/>
      <c r="U144" s="120"/>
      <c r="V144" s="120"/>
      <c r="W144" s="117"/>
      <c r="X144" s="117">
        <f t="shared" si="2"/>
        <v>0</v>
      </c>
      <c r="Y144" s="172"/>
    </row>
    <row r="145" spans="1:25" ht="15.75">
      <c r="A145" s="469"/>
      <c r="B145" s="476" t="s">
        <v>225</v>
      </c>
      <c r="C145" s="476" t="s">
        <v>226</v>
      </c>
      <c r="D145" s="106">
        <v>137</v>
      </c>
      <c r="E145" s="106" t="s">
        <v>227</v>
      </c>
      <c r="F145" s="120"/>
      <c r="G145" s="120"/>
      <c r="H145" s="120"/>
      <c r="I145" s="120"/>
      <c r="J145" s="116">
        <f t="shared" si="13"/>
        <v>0</v>
      </c>
      <c r="K145" s="120"/>
      <c r="L145" s="120"/>
      <c r="M145" s="120"/>
      <c r="N145" s="120"/>
      <c r="O145" s="120"/>
      <c r="P145" s="116">
        <f t="shared" si="14"/>
        <v>0</v>
      </c>
      <c r="Q145" s="122"/>
      <c r="R145" s="122"/>
      <c r="S145" s="122"/>
      <c r="T145" s="122"/>
      <c r="U145" s="120"/>
      <c r="V145" s="120"/>
      <c r="W145" s="117"/>
      <c r="X145" s="117">
        <f t="shared" si="2"/>
        <v>0</v>
      </c>
      <c r="Y145" s="172"/>
    </row>
    <row r="146" spans="1:25" ht="63">
      <c r="A146" s="469"/>
      <c r="B146" s="469"/>
      <c r="C146" s="469"/>
      <c r="D146" s="106">
        <v>138</v>
      </c>
      <c r="E146" s="106" t="s">
        <v>228</v>
      </c>
      <c r="F146" s="120"/>
      <c r="G146" s="120"/>
      <c r="H146" s="120"/>
      <c r="I146" s="122"/>
      <c r="J146" s="117">
        <f t="shared" si="13"/>
        <v>0</v>
      </c>
      <c r="K146" s="122"/>
      <c r="L146" s="122"/>
      <c r="M146" s="120"/>
      <c r="N146" s="120"/>
      <c r="O146" s="122"/>
      <c r="P146" s="117">
        <f t="shared" si="14"/>
        <v>0</v>
      </c>
      <c r="Q146" s="122"/>
      <c r="R146" s="122"/>
      <c r="S146" s="120"/>
      <c r="T146" s="120"/>
      <c r="U146" s="120"/>
      <c r="V146" s="120"/>
      <c r="W146" s="117"/>
      <c r="X146" s="117">
        <f t="shared" si="2"/>
        <v>0</v>
      </c>
      <c r="Y146" s="172"/>
    </row>
    <row r="147" spans="1:25" ht="78.75">
      <c r="A147" s="469"/>
      <c r="B147" s="476" t="s">
        <v>229</v>
      </c>
      <c r="C147" s="476" t="s">
        <v>230</v>
      </c>
      <c r="D147" s="106">
        <v>139</v>
      </c>
      <c r="E147" s="106" t="s">
        <v>231</v>
      </c>
      <c r="F147" s="120"/>
      <c r="G147" s="120"/>
      <c r="H147" s="120"/>
      <c r="I147" s="120"/>
      <c r="J147" s="116">
        <f t="shared" si="13"/>
        <v>0</v>
      </c>
      <c r="K147" s="120"/>
      <c r="L147" s="120"/>
      <c r="M147" s="120"/>
      <c r="N147" s="120"/>
      <c r="O147" s="120"/>
      <c r="P147" s="116">
        <f t="shared" si="14"/>
        <v>0</v>
      </c>
      <c r="Q147" s="120"/>
      <c r="R147" s="120"/>
      <c r="S147" s="122"/>
      <c r="T147" s="122">
        <v>2</v>
      </c>
      <c r="U147" s="120"/>
      <c r="V147" s="120"/>
      <c r="W147" s="117"/>
      <c r="X147" s="117">
        <f t="shared" si="2"/>
        <v>2</v>
      </c>
      <c r="Y147" s="172" t="s">
        <v>669</v>
      </c>
    </row>
    <row r="148" spans="1:25" ht="92.25" customHeight="1">
      <c r="A148" s="469"/>
      <c r="B148" s="469"/>
      <c r="C148" s="469"/>
      <c r="D148" s="106">
        <v>140</v>
      </c>
      <c r="E148" s="106" t="s">
        <v>232</v>
      </c>
      <c r="F148" s="120"/>
      <c r="G148" s="120"/>
      <c r="H148" s="120"/>
      <c r="I148" s="120"/>
      <c r="J148" s="116">
        <f t="shared" si="13"/>
        <v>0</v>
      </c>
      <c r="K148" s="120"/>
      <c r="L148" s="120"/>
      <c r="M148" s="120"/>
      <c r="N148" s="120"/>
      <c r="O148" s="120"/>
      <c r="P148" s="116">
        <f t="shared" si="14"/>
        <v>0</v>
      </c>
      <c r="Q148" s="120"/>
      <c r="R148" s="120"/>
      <c r="S148" s="122"/>
      <c r="T148" s="122">
        <v>1.62</v>
      </c>
      <c r="U148" s="120"/>
      <c r="V148" s="120"/>
      <c r="W148" s="117"/>
      <c r="X148" s="117">
        <f t="shared" si="2"/>
        <v>1.62</v>
      </c>
      <c r="Y148" s="172" t="s">
        <v>670</v>
      </c>
    </row>
    <row r="149" spans="1:25" ht="47.25" hidden="1">
      <c r="A149" s="469"/>
      <c r="B149" s="469"/>
      <c r="C149" s="469"/>
      <c r="D149" s="106">
        <v>141</v>
      </c>
      <c r="E149" s="106" t="s">
        <v>233</v>
      </c>
      <c r="F149" s="120"/>
      <c r="G149" s="120"/>
      <c r="H149" s="120"/>
      <c r="I149" s="120"/>
      <c r="J149" s="116">
        <f t="shared" si="13"/>
        <v>0</v>
      </c>
      <c r="K149" s="120"/>
      <c r="L149" s="120"/>
      <c r="M149" s="120"/>
      <c r="N149" s="120"/>
      <c r="O149" s="120"/>
      <c r="P149" s="116">
        <f t="shared" si="14"/>
        <v>0</v>
      </c>
      <c r="Q149" s="120"/>
      <c r="R149" s="120"/>
      <c r="S149" s="120"/>
      <c r="T149" s="120"/>
      <c r="U149" s="120"/>
      <c r="V149" s="120"/>
      <c r="W149" s="117"/>
      <c r="X149" s="117">
        <f t="shared" si="2"/>
        <v>0</v>
      </c>
      <c r="Y149" s="172"/>
    </row>
    <row r="150" spans="1:25" ht="63">
      <c r="A150" s="469"/>
      <c r="B150" s="476" t="s">
        <v>234</v>
      </c>
      <c r="C150" s="476" t="s">
        <v>235</v>
      </c>
      <c r="D150" s="106">
        <v>142</v>
      </c>
      <c r="E150" s="106" t="s">
        <v>236</v>
      </c>
      <c r="F150" s="120"/>
      <c r="G150" s="120"/>
      <c r="H150" s="120"/>
      <c r="I150" s="120"/>
      <c r="J150" s="116">
        <f t="shared" si="13"/>
        <v>0</v>
      </c>
      <c r="K150" s="120"/>
      <c r="L150" s="120"/>
      <c r="M150" s="120"/>
      <c r="N150" s="120"/>
      <c r="O150" s="120"/>
      <c r="P150" s="116">
        <f t="shared" si="14"/>
        <v>0</v>
      </c>
      <c r="Q150" s="120"/>
      <c r="R150" s="120"/>
      <c r="S150" s="150"/>
      <c r="T150" s="150">
        <v>1565.54</v>
      </c>
      <c r="U150" s="120"/>
      <c r="V150" s="120"/>
      <c r="W150" s="117"/>
      <c r="X150" s="117">
        <f t="shared" si="2"/>
        <v>1565.54</v>
      </c>
      <c r="Y150" s="172" t="s">
        <v>671</v>
      </c>
    </row>
    <row r="151" spans="1:25" ht="78.75">
      <c r="A151" s="469"/>
      <c r="B151" s="469"/>
      <c r="C151" s="469"/>
      <c r="D151" s="106">
        <v>143</v>
      </c>
      <c r="E151" s="106" t="s">
        <v>237</v>
      </c>
      <c r="F151" s="120"/>
      <c r="G151" s="120"/>
      <c r="H151" s="120"/>
      <c r="I151" s="120"/>
      <c r="J151" s="116">
        <f t="shared" si="13"/>
        <v>0</v>
      </c>
      <c r="K151" s="120"/>
      <c r="L151" s="120"/>
      <c r="M151" s="120"/>
      <c r="N151" s="120"/>
      <c r="O151" s="120"/>
      <c r="P151" s="116">
        <f t="shared" si="14"/>
        <v>0</v>
      </c>
      <c r="Q151" s="120"/>
      <c r="R151" s="120"/>
      <c r="S151" s="120"/>
      <c r="T151" s="120"/>
      <c r="U151" s="120"/>
      <c r="V151" s="120"/>
      <c r="W151" s="117"/>
      <c r="X151" s="117">
        <f t="shared" si="2"/>
        <v>0</v>
      </c>
      <c r="Y151" s="172"/>
    </row>
    <row r="152" spans="1:25" ht="31.5">
      <c r="A152" s="469"/>
      <c r="B152" s="469"/>
      <c r="C152" s="469"/>
      <c r="D152" s="106">
        <v>144</v>
      </c>
      <c r="E152" s="106" t="s">
        <v>238</v>
      </c>
      <c r="F152" s="120"/>
      <c r="G152" s="120"/>
      <c r="H152" s="120"/>
      <c r="I152" s="120"/>
      <c r="J152" s="116">
        <f t="shared" si="13"/>
        <v>0</v>
      </c>
      <c r="K152" s="120"/>
      <c r="L152" s="120"/>
      <c r="M152" s="120"/>
      <c r="N152" s="120"/>
      <c r="O152" s="120"/>
      <c r="P152" s="116">
        <f t="shared" si="14"/>
        <v>0</v>
      </c>
      <c r="Q152" s="120"/>
      <c r="R152" s="120"/>
      <c r="S152" s="120"/>
      <c r="T152" s="120"/>
      <c r="U152" s="120"/>
      <c r="V152" s="120"/>
      <c r="W152" s="117"/>
      <c r="X152" s="117">
        <f t="shared" si="2"/>
        <v>0</v>
      </c>
      <c r="Y152" s="172"/>
    </row>
    <row r="153" spans="1:25" ht="63">
      <c r="A153" s="469"/>
      <c r="B153" s="469"/>
      <c r="C153" s="469"/>
      <c r="D153" s="106">
        <v>145</v>
      </c>
      <c r="E153" s="106" t="s">
        <v>295</v>
      </c>
      <c r="F153" s="120"/>
      <c r="G153" s="120"/>
      <c r="H153" s="120"/>
      <c r="I153" s="120"/>
      <c r="J153" s="116">
        <f t="shared" si="13"/>
        <v>0</v>
      </c>
      <c r="K153" s="120"/>
      <c r="L153" s="120"/>
      <c r="M153" s="120"/>
      <c r="N153" s="120"/>
      <c r="O153" s="120"/>
      <c r="P153" s="116">
        <f t="shared" si="14"/>
        <v>0</v>
      </c>
      <c r="Q153" s="120"/>
      <c r="R153" s="120"/>
      <c r="S153" s="120"/>
      <c r="T153" s="120"/>
      <c r="U153" s="120"/>
      <c r="V153" s="120"/>
      <c r="W153" s="117"/>
      <c r="X153" s="117">
        <f t="shared" si="2"/>
        <v>0</v>
      </c>
      <c r="Y153" s="172"/>
    </row>
    <row r="154" spans="1:25" ht="126">
      <c r="A154" s="469"/>
      <c r="B154" s="106" t="s">
        <v>240</v>
      </c>
      <c r="C154" s="106" t="s">
        <v>241</v>
      </c>
      <c r="D154" s="106">
        <v>146</v>
      </c>
      <c r="E154" s="106" t="s">
        <v>242</v>
      </c>
      <c r="F154" s="120"/>
      <c r="G154" s="120"/>
      <c r="H154" s="120"/>
      <c r="I154" s="120"/>
      <c r="J154" s="116">
        <f t="shared" si="13"/>
        <v>0</v>
      </c>
      <c r="K154" s="120"/>
      <c r="L154" s="120"/>
      <c r="M154" s="120"/>
      <c r="N154" s="120"/>
      <c r="O154" s="120"/>
      <c r="P154" s="116">
        <f t="shared" si="14"/>
        <v>0</v>
      </c>
      <c r="Q154" s="120"/>
      <c r="R154" s="120"/>
      <c r="S154" s="120"/>
      <c r="T154" s="120">
        <f>(0.4*12)+(12*0.1)</f>
        <v>6.0000000000000009</v>
      </c>
      <c r="U154" s="120"/>
      <c r="V154" s="120"/>
      <c r="W154" s="117"/>
      <c r="X154" s="117">
        <f t="shared" si="2"/>
        <v>6.0000000000000009</v>
      </c>
      <c r="Y154" s="401" t="s">
        <v>672</v>
      </c>
    </row>
    <row r="155" spans="1:25" ht="31.5">
      <c r="A155" s="469"/>
      <c r="B155" s="106" t="s">
        <v>243</v>
      </c>
      <c r="C155" s="106" t="s">
        <v>244</v>
      </c>
      <c r="D155" s="106">
        <v>147</v>
      </c>
      <c r="E155" s="106" t="s">
        <v>125</v>
      </c>
      <c r="F155" s="120"/>
      <c r="G155" s="120"/>
      <c r="H155" s="120"/>
      <c r="I155" s="120"/>
      <c r="J155" s="116">
        <f t="shared" si="13"/>
        <v>0</v>
      </c>
      <c r="K155" s="120"/>
      <c r="L155" s="120"/>
      <c r="M155" s="120"/>
      <c r="N155" s="120"/>
      <c r="O155" s="120"/>
      <c r="P155" s="116">
        <f t="shared" si="14"/>
        <v>0</v>
      </c>
      <c r="Q155" s="120"/>
      <c r="R155" s="120"/>
      <c r="S155" s="120"/>
      <c r="T155" s="120"/>
      <c r="U155" s="120"/>
      <c r="V155" s="120"/>
      <c r="W155" s="117"/>
      <c r="X155" s="117">
        <f t="shared" si="2"/>
        <v>0</v>
      </c>
      <c r="Y155" s="172"/>
    </row>
    <row r="156" spans="1:25" ht="78.75" hidden="1">
      <c r="A156" s="469"/>
      <c r="B156" s="106" t="s">
        <v>245</v>
      </c>
      <c r="C156" s="106" t="s">
        <v>246</v>
      </c>
      <c r="D156" s="106">
        <v>148</v>
      </c>
      <c r="E156" s="106" t="s">
        <v>247</v>
      </c>
      <c r="F156" s="120"/>
      <c r="G156" s="120"/>
      <c r="H156" s="120"/>
      <c r="I156" s="120"/>
      <c r="J156" s="116">
        <f t="shared" si="13"/>
        <v>0</v>
      </c>
      <c r="K156" s="120"/>
      <c r="L156" s="120"/>
      <c r="M156" s="120"/>
      <c r="N156" s="120"/>
      <c r="O156" s="120"/>
      <c r="P156" s="116">
        <f t="shared" si="14"/>
        <v>0</v>
      </c>
      <c r="Q156" s="120"/>
      <c r="R156" s="120"/>
      <c r="S156" s="122"/>
      <c r="T156" s="122"/>
      <c r="U156" s="120"/>
      <c r="V156" s="120"/>
      <c r="W156" s="117"/>
      <c r="X156" s="117">
        <f t="shared" si="2"/>
        <v>0</v>
      </c>
      <c r="Y156" s="172"/>
    </row>
    <row r="157" spans="1:25" ht="94.5">
      <c r="A157" s="469"/>
      <c r="B157" s="106" t="s">
        <v>248</v>
      </c>
      <c r="C157" s="106" t="s">
        <v>249</v>
      </c>
      <c r="D157" s="106">
        <v>149</v>
      </c>
      <c r="E157" s="106" t="s">
        <v>250</v>
      </c>
      <c r="F157" s="151"/>
      <c r="G157" s="151"/>
      <c r="H157" s="151"/>
      <c r="I157" s="151"/>
      <c r="J157" s="116">
        <f t="shared" si="13"/>
        <v>0</v>
      </c>
      <c r="K157" s="151"/>
      <c r="L157" s="151"/>
      <c r="M157" s="151"/>
      <c r="N157" s="151"/>
      <c r="O157" s="151"/>
      <c r="P157" s="116">
        <f t="shared" si="14"/>
        <v>0</v>
      </c>
      <c r="Q157" s="151"/>
      <c r="R157" s="151"/>
      <c r="S157" s="122"/>
      <c r="T157" s="122">
        <f>(0.03*174)</f>
        <v>5.22</v>
      </c>
      <c r="U157" s="151"/>
      <c r="V157" s="151"/>
      <c r="W157" s="117"/>
      <c r="X157" s="117">
        <f t="shared" si="2"/>
        <v>5.22</v>
      </c>
      <c r="Y157" s="172" t="s">
        <v>673</v>
      </c>
    </row>
    <row r="158" spans="1:25" ht="32.25" customHeight="1">
      <c r="A158" s="469"/>
      <c r="B158" s="478" t="s">
        <v>251</v>
      </c>
      <c r="C158" s="469"/>
      <c r="D158" s="469"/>
      <c r="E158" s="99"/>
      <c r="F158" s="100">
        <f t="shared" ref="F158:W158" si="15">SUM(F135:F157)</f>
        <v>0</v>
      </c>
      <c r="G158" s="100">
        <f t="shared" si="15"/>
        <v>0</v>
      </c>
      <c r="H158" s="100">
        <f t="shared" si="15"/>
        <v>0</v>
      </c>
      <c r="I158" s="100">
        <f t="shared" si="15"/>
        <v>0</v>
      </c>
      <c r="J158" s="100">
        <f t="shared" si="15"/>
        <v>0</v>
      </c>
      <c r="K158" s="100">
        <f t="shared" si="15"/>
        <v>0</v>
      </c>
      <c r="L158" s="100">
        <f t="shared" si="15"/>
        <v>0</v>
      </c>
      <c r="M158" s="100">
        <f t="shared" si="15"/>
        <v>0</v>
      </c>
      <c r="N158" s="100">
        <f t="shared" si="15"/>
        <v>0</v>
      </c>
      <c r="O158" s="100">
        <f t="shared" si="15"/>
        <v>0</v>
      </c>
      <c r="P158" s="100">
        <f t="shared" si="15"/>
        <v>0</v>
      </c>
      <c r="Q158" s="100">
        <f t="shared" si="15"/>
        <v>0</v>
      </c>
      <c r="R158" s="100">
        <f t="shared" si="15"/>
        <v>0</v>
      </c>
      <c r="S158" s="100">
        <f t="shared" si="15"/>
        <v>0</v>
      </c>
      <c r="T158" s="100">
        <f t="shared" si="15"/>
        <v>1583.98</v>
      </c>
      <c r="U158" s="100">
        <f t="shared" si="15"/>
        <v>0</v>
      </c>
      <c r="V158" s="100">
        <f t="shared" si="15"/>
        <v>0</v>
      </c>
      <c r="W158" s="102">
        <f t="shared" si="15"/>
        <v>0</v>
      </c>
      <c r="X158" s="102">
        <f t="shared" si="2"/>
        <v>1583.98</v>
      </c>
      <c r="Y158" s="402"/>
    </row>
    <row r="159" spans="1:25" ht="110.25">
      <c r="A159" s="477" t="s">
        <v>252</v>
      </c>
      <c r="B159" s="476" t="s">
        <v>253</v>
      </c>
      <c r="C159" s="476" t="s">
        <v>211</v>
      </c>
      <c r="D159" s="106">
        <v>150</v>
      </c>
      <c r="E159" s="106" t="s">
        <v>239</v>
      </c>
      <c r="F159" s="120"/>
      <c r="G159" s="121"/>
      <c r="H159" s="121">
        <v>90</v>
      </c>
      <c r="I159" s="121"/>
      <c r="J159" s="125">
        <f t="shared" ref="J159:J215" si="16">H159+I159</f>
        <v>90</v>
      </c>
      <c r="K159" s="120"/>
      <c r="L159" s="120"/>
      <c r="M159" s="120"/>
      <c r="N159" s="120"/>
      <c r="O159" s="120"/>
      <c r="P159" s="116">
        <f t="shared" ref="P159:P215" si="17">N159+O159</f>
        <v>0</v>
      </c>
      <c r="Q159" s="120"/>
      <c r="R159" s="120"/>
      <c r="S159" s="121"/>
      <c r="T159" s="121">
        <v>1</v>
      </c>
      <c r="U159" s="120"/>
      <c r="V159" s="120"/>
      <c r="W159" s="117"/>
      <c r="X159" s="117">
        <f t="shared" si="2"/>
        <v>91</v>
      </c>
      <c r="Y159" s="98" t="s">
        <v>1025</v>
      </c>
    </row>
    <row r="160" spans="1:25" ht="47.25">
      <c r="A160" s="469"/>
      <c r="B160" s="469"/>
      <c r="C160" s="469"/>
      <c r="D160" s="106">
        <v>151</v>
      </c>
      <c r="E160" s="106" t="s">
        <v>254</v>
      </c>
      <c r="F160" s="120"/>
      <c r="G160" s="121"/>
      <c r="H160" s="121"/>
      <c r="I160" s="121"/>
      <c r="J160" s="125">
        <f t="shared" si="16"/>
        <v>0</v>
      </c>
      <c r="K160" s="122"/>
      <c r="L160" s="122"/>
      <c r="M160" s="120"/>
      <c r="N160" s="120"/>
      <c r="O160" s="120"/>
      <c r="P160" s="116">
        <f t="shared" si="17"/>
        <v>0</v>
      </c>
      <c r="Q160" s="120"/>
      <c r="R160" s="120"/>
      <c r="S160" s="121"/>
      <c r="T160" s="121"/>
      <c r="U160" s="120"/>
      <c r="V160" s="120"/>
      <c r="W160" s="117"/>
      <c r="X160" s="117">
        <f t="shared" si="2"/>
        <v>0</v>
      </c>
      <c r="Y160" s="172"/>
    </row>
    <row r="161" spans="1:25" ht="84" customHeight="1">
      <c r="A161" s="469"/>
      <c r="B161" s="469"/>
      <c r="C161" s="469"/>
      <c r="D161" s="106">
        <v>152</v>
      </c>
      <c r="E161" s="106" t="s">
        <v>255</v>
      </c>
      <c r="F161" s="120"/>
      <c r="G161" s="120"/>
      <c r="H161" s="120"/>
      <c r="I161" s="120"/>
      <c r="J161" s="116">
        <f t="shared" si="16"/>
        <v>0</v>
      </c>
      <c r="K161" s="120"/>
      <c r="L161" s="120"/>
      <c r="M161" s="120"/>
      <c r="N161" s="120"/>
      <c r="O161" s="120"/>
      <c r="P161" s="116">
        <f t="shared" si="17"/>
        <v>0</v>
      </c>
      <c r="Q161" s="120"/>
      <c r="R161" s="120"/>
      <c r="S161" s="121"/>
      <c r="T161" s="98">
        <f>401 * 3600/100000</f>
        <v>14.436</v>
      </c>
      <c r="U161" s="120"/>
      <c r="V161" s="120"/>
      <c r="W161" s="117"/>
      <c r="X161" s="117">
        <f t="shared" si="2"/>
        <v>14.436</v>
      </c>
      <c r="Y161" s="98" t="s">
        <v>1026</v>
      </c>
    </row>
    <row r="162" spans="1:25" ht="31.5">
      <c r="A162" s="469"/>
      <c r="B162" s="469"/>
      <c r="C162" s="469"/>
      <c r="D162" s="106">
        <v>153</v>
      </c>
      <c r="E162" s="106" t="s">
        <v>256</v>
      </c>
      <c r="F162" s="151"/>
      <c r="G162" s="151"/>
      <c r="H162" s="151"/>
      <c r="I162" s="151"/>
      <c r="J162" s="116">
        <f t="shared" si="16"/>
        <v>0</v>
      </c>
      <c r="K162" s="151"/>
      <c r="L162" s="151"/>
      <c r="M162" s="151"/>
      <c r="N162" s="151"/>
      <c r="O162" s="151"/>
      <c r="P162" s="116">
        <f t="shared" si="17"/>
        <v>0</v>
      </c>
      <c r="Q162" s="151"/>
      <c r="R162" s="151"/>
      <c r="S162" s="151"/>
      <c r="T162" s="151"/>
      <c r="U162" s="151"/>
      <c r="V162" s="151"/>
      <c r="W162" s="117"/>
      <c r="X162" s="117">
        <f t="shared" si="2"/>
        <v>0</v>
      </c>
      <c r="Y162" s="172"/>
    </row>
    <row r="163" spans="1:25" ht="47.25">
      <c r="A163" s="469"/>
      <c r="B163" s="476" t="s">
        <v>257</v>
      </c>
      <c r="C163" s="476" t="s">
        <v>258</v>
      </c>
      <c r="D163" s="106">
        <v>154</v>
      </c>
      <c r="E163" s="106" t="s">
        <v>259</v>
      </c>
      <c r="F163" s="120"/>
      <c r="G163" s="120"/>
      <c r="H163" s="120"/>
      <c r="I163" s="120"/>
      <c r="J163" s="116">
        <f t="shared" si="16"/>
        <v>0</v>
      </c>
      <c r="K163" s="120"/>
      <c r="L163" s="120"/>
      <c r="M163" s="120"/>
      <c r="N163" s="120"/>
      <c r="O163" s="122"/>
      <c r="P163" s="117">
        <f t="shared" si="17"/>
        <v>0</v>
      </c>
      <c r="Q163" s="122"/>
      <c r="R163" s="122"/>
      <c r="S163" s="120"/>
      <c r="T163" s="120"/>
      <c r="U163" s="120"/>
      <c r="V163" s="120"/>
      <c r="W163" s="117"/>
      <c r="X163" s="117">
        <f t="shared" si="2"/>
        <v>0</v>
      </c>
      <c r="Y163" s="172"/>
    </row>
    <row r="164" spans="1:25" ht="47.25">
      <c r="A164" s="469"/>
      <c r="B164" s="469"/>
      <c r="C164" s="469"/>
      <c r="D164" s="106">
        <v>155</v>
      </c>
      <c r="E164" s="106" t="s">
        <v>260</v>
      </c>
      <c r="F164" s="120"/>
      <c r="G164" s="120"/>
      <c r="H164" s="120"/>
      <c r="I164" s="120"/>
      <c r="J164" s="116">
        <f t="shared" si="16"/>
        <v>0</v>
      </c>
      <c r="K164" s="120"/>
      <c r="L164" s="120"/>
      <c r="M164" s="120"/>
      <c r="N164" s="120"/>
      <c r="O164" s="120"/>
      <c r="P164" s="116">
        <f t="shared" si="17"/>
        <v>0</v>
      </c>
      <c r="Q164" s="120"/>
      <c r="R164" s="120"/>
      <c r="S164" s="121"/>
      <c r="T164" s="121"/>
      <c r="U164" s="120"/>
      <c r="V164" s="120"/>
      <c r="W164" s="117"/>
      <c r="X164" s="117">
        <f t="shared" si="2"/>
        <v>0</v>
      </c>
      <c r="Y164" s="172"/>
    </row>
    <row r="165" spans="1:25" ht="44.25" customHeight="1">
      <c r="A165" s="469"/>
      <c r="B165" s="469"/>
      <c r="C165" s="469"/>
      <c r="D165" s="106">
        <v>156</v>
      </c>
      <c r="E165" s="106" t="s">
        <v>261</v>
      </c>
      <c r="F165" s="120"/>
      <c r="G165" s="120"/>
      <c r="H165" s="120"/>
      <c r="I165" s="121"/>
      <c r="J165" s="125">
        <f t="shared" si="16"/>
        <v>0</v>
      </c>
      <c r="K165" s="122"/>
      <c r="L165" s="122"/>
      <c r="M165" s="120"/>
      <c r="N165" s="120"/>
      <c r="O165" s="120"/>
      <c r="P165" s="116">
        <f t="shared" si="17"/>
        <v>0</v>
      </c>
      <c r="Q165" s="120"/>
      <c r="R165" s="120"/>
      <c r="S165" s="121"/>
      <c r="T165" s="121">
        <v>2</v>
      </c>
      <c r="U165" s="115"/>
      <c r="V165" s="120"/>
      <c r="W165" s="117"/>
      <c r="X165" s="117">
        <f t="shared" si="2"/>
        <v>2</v>
      </c>
      <c r="Y165" s="172" t="s">
        <v>815</v>
      </c>
    </row>
    <row r="166" spans="1:25" ht="78.75">
      <c r="A166" s="469"/>
      <c r="B166" s="469"/>
      <c r="C166" s="469"/>
      <c r="D166" s="106">
        <v>157</v>
      </c>
      <c r="E166" s="106" t="s">
        <v>262</v>
      </c>
      <c r="F166" s="120"/>
      <c r="G166" s="120"/>
      <c r="H166" s="120"/>
      <c r="I166" s="120"/>
      <c r="J166" s="116">
        <f t="shared" si="16"/>
        <v>0</v>
      </c>
      <c r="K166" s="120"/>
      <c r="L166" s="120"/>
      <c r="M166" s="120"/>
      <c r="N166" s="120"/>
      <c r="O166" s="120"/>
      <c r="P166" s="116">
        <f t="shared" si="17"/>
        <v>0</v>
      </c>
      <c r="Q166" s="120"/>
      <c r="R166" s="120"/>
      <c r="S166" s="120"/>
      <c r="T166" s="120"/>
      <c r="U166" s="120"/>
      <c r="V166" s="120"/>
      <c r="W166" s="117"/>
      <c r="X166" s="117">
        <f t="shared" si="2"/>
        <v>0</v>
      </c>
      <c r="Y166" s="172"/>
    </row>
    <row r="167" spans="1:25" ht="63">
      <c r="A167" s="469"/>
      <c r="B167" s="469"/>
      <c r="C167" s="469"/>
      <c r="D167" s="106">
        <v>158</v>
      </c>
      <c r="E167" s="106" t="s">
        <v>263</v>
      </c>
      <c r="F167" s="120"/>
      <c r="G167" s="120"/>
      <c r="H167" s="120"/>
      <c r="I167" s="120"/>
      <c r="J167" s="116">
        <f t="shared" si="16"/>
        <v>0</v>
      </c>
      <c r="K167" s="120"/>
      <c r="L167" s="120"/>
      <c r="M167" s="120"/>
      <c r="N167" s="120"/>
      <c r="O167" s="120"/>
      <c r="P167" s="116">
        <f t="shared" si="17"/>
        <v>0</v>
      </c>
      <c r="Q167" s="120"/>
      <c r="R167" s="120"/>
      <c r="S167" s="120"/>
      <c r="T167" s="120"/>
      <c r="U167" s="120"/>
      <c r="V167" s="120"/>
      <c r="W167" s="117"/>
      <c r="X167" s="117">
        <f t="shared" si="2"/>
        <v>0</v>
      </c>
      <c r="Y167" s="172"/>
    </row>
    <row r="168" spans="1:25" ht="110.25">
      <c r="A168" s="469"/>
      <c r="B168" s="476" t="s">
        <v>264</v>
      </c>
      <c r="C168" s="476" t="s">
        <v>216</v>
      </c>
      <c r="D168" s="106">
        <v>159</v>
      </c>
      <c r="E168" s="106" t="s">
        <v>217</v>
      </c>
      <c r="F168" s="120"/>
      <c r="G168" s="120"/>
      <c r="H168" s="120"/>
      <c r="I168" s="120"/>
      <c r="J168" s="116">
        <f t="shared" si="16"/>
        <v>0</v>
      </c>
      <c r="K168" s="120"/>
      <c r="L168" s="120"/>
      <c r="M168" s="120"/>
      <c r="N168" s="120"/>
      <c r="O168" s="122"/>
      <c r="P168" s="117">
        <f t="shared" si="17"/>
        <v>0</v>
      </c>
      <c r="Q168" s="120"/>
      <c r="R168" s="120"/>
      <c r="S168" s="121"/>
      <c r="T168" s="121">
        <v>50.28</v>
      </c>
      <c r="U168" s="166"/>
      <c r="V168" s="120"/>
      <c r="W168" s="117"/>
      <c r="X168" s="117">
        <f t="shared" si="2"/>
        <v>50.28</v>
      </c>
      <c r="Y168" s="172" t="s">
        <v>1003</v>
      </c>
    </row>
    <row r="169" spans="1:25" ht="15.75">
      <c r="A169" s="469"/>
      <c r="B169" s="469"/>
      <c r="C169" s="469"/>
      <c r="D169" s="106">
        <v>160</v>
      </c>
      <c r="E169" s="106" t="s">
        <v>265</v>
      </c>
      <c r="F169" s="120"/>
      <c r="G169" s="120"/>
      <c r="H169" s="120"/>
      <c r="I169" s="120"/>
      <c r="J169" s="116">
        <f t="shared" si="16"/>
        <v>0</v>
      </c>
      <c r="K169" s="120"/>
      <c r="L169" s="120"/>
      <c r="M169" s="120"/>
      <c r="N169" s="120"/>
      <c r="O169" s="120"/>
      <c r="P169" s="116">
        <f t="shared" si="17"/>
        <v>0</v>
      </c>
      <c r="Q169" s="120"/>
      <c r="R169" s="120"/>
      <c r="S169" s="120"/>
      <c r="T169" s="120"/>
      <c r="U169" s="120"/>
      <c r="V169" s="120"/>
      <c r="W169" s="117"/>
      <c r="X169" s="117">
        <f t="shared" si="2"/>
        <v>0</v>
      </c>
      <c r="Y169" s="150"/>
    </row>
    <row r="170" spans="1:25" ht="15.75">
      <c r="A170" s="469"/>
      <c r="B170" s="469"/>
      <c r="C170" s="469"/>
      <c r="D170" s="106">
        <v>161</v>
      </c>
      <c r="E170" s="106" t="s">
        <v>219</v>
      </c>
      <c r="F170" s="120"/>
      <c r="G170" s="120"/>
      <c r="H170" s="120"/>
      <c r="I170" s="120"/>
      <c r="J170" s="116">
        <f t="shared" si="16"/>
        <v>0</v>
      </c>
      <c r="K170" s="120"/>
      <c r="L170" s="120"/>
      <c r="M170" s="120"/>
      <c r="N170" s="120"/>
      <c r="O170" s="120"/>
      <c r="P170" s="116">
        <f t="shared" si="17"/>
        <v>0</v>
      </c>
      <c r="Q170" s="120"/>
      <c r="R170" s="120"/>
      <c r="S170" s="120"/>
      <c r="T170" s="120"/>
      <c r="U170" s="120"/>
      <c r="V170" s="120"/>
      <c r="W170" s="117"/>
      <c r="X170" s="117">
        <f t="shared" si="2"/>
        <v>0</v>
      </c>
      <c r="Y170" s="172"/>
    </row>
    <row r="171" spans="1:25" ht="15.75">
      <c r="A171" s="469"/>
      <c r="B171" s="469"/>
      <c r="C171" s="469"/>
      <c r="D171" s="106">
        <v>162</v>
      </c>
      <c r="E171" s="106" t="s">
        <v>220</v>
      </c>
      <c r="F171" s="120"/>
      <c r="G171" s="120"/>
      <c r="H171" s="120"/>
      <c r="I171" s="120"/>
      <c r="J171" s="116">
        <f t="shared" si="16"/>
        <v>0</v>
      </c>
      <c r="K171" s="120"/>
      <c r="L171" s="120"/>
      <c r="M171" s="120"/>
      <c r="N171" s="120"/>
      <c r="O171" s="120"/>
      <c r="P171" s="116">
        <f t="shared" si="17"/>
        <v>0</v>
      </c>
      <c r="Q171" s="120"/>
      <c r="R171" s="120"/>
      <c r="S171" s="120"/>
      <c r="T171" s="120"/>
      <c r="U171" s="120"/>
      <c r="V171" s="120"/>
      <c r="W171" s="117"/>
      <c r="X171" s="117">
        <f t="shared" si="2"/>
        <v>0</v>
      </c>
      <c r="Y171" s="172"/>
    </row>
    <row r="172" spans="1:25" ht="63">
      <c r="A172" s="469"/>
      <c r="B172" s="469"/>
      <c r="C172" s="469"/>
      <c r="D172" s="106">
        <v>163</v>
      </c>
      <c r="E172" s="106" t="s">
        <v>266</v>
      </c>
      <c r="F172" s="120"/>
      <c r="G172" s="120"/>
      <c r="H172" s="120"/>
      <c r="I172" s="120"/>
      <c r="J172" s="116">
        <f t="shared" si="16"/>
        <v>0</v>
      </c>
      <c r="K172" s="120"/>
      <c r="L172" s="120"/>
      <c r="M172" s="120"/>
      <c r="N172" s="120"/>
      <c r="O172" s="120"/>
      <c r="P172" s="116">
        <f t="shared" si="17"/>
        <v>0</v>
      </c>
      <c r="Q172" s="120"/>
      <c r="R172" s="120"/>
      <c r="S172" s="121"/>
      <c r="T172" s="121"/>
      <c r="U172" s="120"/>
      <c r="V172" s="120"/>
      <c r="W172" s="117"/>
      <c r="X172" s="117">
        <f t="shared" si="2"/>
        <v>0</v>
      </c>
      <c r="Y172" s="172"/>
    </row>
    <row r="173" spans="1:25" ht="31.5">
      <c r="A173" s="469"/>
      <c r="B173" s="476" t="s">
        <v>267</v>
      </c>
      <c r="C173" s="476" t="s">
        <v>268</v>
      </c>
      <c r="D173" s="106">
        <v>164</v>
      </c>
      <c r="E173" s="106" t="s">
        <v>269</v>
      </c>
      <c r="F173" s="120"/>
      <c r="G173" s="121"/>
      <c r="H173" s="121"/>
      <c r="I173" s="121"/>
      <c r="J173" s="125">
        <f t="shared" si="16"/>
        <v>0</v>
      </c>
      <c r="K173" s="120"/>
      <c r="L173" s="120"/>
      <c r="M173" s="120"/>
      <c r="N173" s="120"/>
      <c r="O173" s="120"/>
      <c r="P173" s="116">
        <f t="shared" si="17"/>
        <v>0</v>
      </c>
      <c r="Q173" s="120"/>
      <c r="R173" s="120"/>
      <c r="S173" s="120"/>
      <c r="T173" s="120"/>
      <c r="U173" s="120"/>
      <c r="V173" s="120"/>
      <c r="W173" s="117"/>
      <c r="X173" s="117">
        <f t="shared" si="2"/>
        <v>0</v>
      </c>
      <c r="Y173" s="172"/>
    </row>
    <row r="174" spans="1:25" ht="31.5">
      <c r="A174" s="469"/>
      <c r="B174" s="469"/>
      <c r="C174" s="469"/>
      <c r="D174" s="106">
        <v>165</v>
      </c>
      <c r="E174" s="106" t="s">
        <v>270</v>
      </c>
      <c r="F174" s="120"/>
      <c r="G174" s="121"/>
      <c r="H174" s="121"/>
      <c r="I174" s="121"/>
      <c r="J174" s="125">
        <f t="shared" si="16"/>
        <v>0</v>
      </c>
      <c r="K174" s="120"/>
      <c r="L174" s="120"/>
      <c r="M174" s="120"/>
      <c r="N174" s="120"/>
      <c r="O174" s="120"/>
      <c r="P174" s="116">
        <f t="shared" si="17"/>
        <v>0</v>
      </c>
      <c r="Q174" s="120"/>
      <c r="R174" s="120"/>
      <c r="S174" s="120"/>
      <c r="T174" s="120"/>
      <c r="U174" s="120"/>
      <c r="V174" s="120"/>
      <c r="W174" s="117"/>
      <c r="X174" s="117">
        <f t="shared" si="2"/>
        <v>0</v>
      </c>
      <c r="Y174" s="172"/>
    </row>
    <row r="175" spans="1:25" ht="47.25">
      <c r="A175" s="469"/>
      <c r="B175" s="469"/>
      <c r="C175" s="469"/>
      <c r="D175" s="106">
        <v>166</v>
      </c>
      <c r="E175" s="106" t="s">
        <v>271</v>
      </c>
      <c r="F175" s="120"/>
      <c r="G175" s="121"/>
      <c r="H175" s="121"/>
      <c r="I175" s="121"/>
      <c r="J175" s="125">
        <f t="shared" si="16"/>
        <v>0</v>
      </c>
      <c r="K175" s="120"/>
      <c r="L175" s="120"/>
      <c r="M175" s="120"/>
      <c r="N175" s="120"/>
      <c r="O175" s="120"/>
      <c r="P175" s="116">
        <f t="shared" si="17"/>
        <v>0</v>
      </c>
      <c r="Q175" s="120"/>
      <c r="R175" s="120"/>
      <c r="S175" s="120"/>
      <c r="T175" s="120"/>
      <c r="U175" s="120"/>
      <c r="V175" s="120"/>
      <c r="W175" s="117"/>
      <c r="X175" s="117">
        <f t="shared" si="2"/>
        <v>0</v>
      </c>
      <c r="Y175" s="172"/>
    </row>
    <row r="176" spans="1:25" ht="47.25">
      <c r="A176" s="469"/>
      <c r="B176" s="469"/>
      <c r="C176" s="469"/>
      <c r="D176" s="106">
        <v>167</v>
      </c>
      <c r="E176" s="106" t="s">
        <v>272</v>
      </c>
      <c r="F176" s="120"/>
      <c r="G176" s="121"/>
      <c r="H176" s="121"/>
      <c r="I176" s="121"/>
      <c r="J176" s="125">
        <f t="shared" si="16"/>
        <v>0</v>
      </c>
      <c r="K176" s="120"/>
      <c r="L176" s="120"/>
      <c r="M176" s="120"/>
      <c r="N176" s="120"/>
      <c r="O176" s="120"/>
      <c r="P176" s="116">
        <f t="shared" si="17"/>
        <v>0</v>
      </c>
      <c r="Q176" s="120"/>
      <c r="R176" s="120"/>
      <c r="S176" s="120"/>
      <c r="T176" s="120"/>
      <c r="U176" s="120"/>
      <c r="V176" s="120"/>
      <c r="W176" s="117"/>
      <c r="X176" s="117">
        <f t="shared" si="2"/>
        <v>0</v>
      </c>
      <c r="Y176" s="172"/>
    </row>
    <row r="177" spans="1:25" ht="31.5">
      <c r="A177" s="469"/>
      <c r="B177" s="469"/>
      <c r="C177" s="469"/>
      <c r="D177" s="106">
        <v>168</v>
      </c>
      <c r="E177" s="106" t="s">
        <v>273</v>
      </c>
      <c r="F177" s="120"/>
      <c r="G177" s="121"/>
      <c r="H177" s="121"/>
      <c r="I177" s="121"/>
      <c r="J177" s="125">
        <f t="shared" si="16"/>
        <v>0</v>
      </c>
      <c r="K177" s="120"/>
      <c r="L177" s="120"/>
      <c r="M177" s="120"/>
      <c r="N177" s="120"/>
      <c r="O177" s="120"/>
      <c r="P177" s="116">
        <f t="shared" si="17"/>
        <v>0</v>
      </c>
      <c r="Q177" s="120"/>
      <c r="R177" s="120"/>
      <c r="S177" s="120"/>
      <c r="T177" s="120"/>
      <c r="U177" s="120"/>
      <c r="V177" s="120"/>
      <c r="W177" s="117"/>
      <c r="X177" s="117">
        <f t="shared" si="2"/>
        <v>0</v>
      </c>
      <c r="Y177" s="172"/>
    </row>
    <row r="178" spans="1:25" ht="78.75">
      <c r="A178" s="469"/>
      <c r="B178" s="469"/>
      <c r="C178" s="469"/>
      <c r="D178" s="106">
        <v>169</v>
      </c>
      <c r="E178" s="106" t="s">
        <v>274</v>
      </c>
      <c r="F178" s="120"/>
      <c r="G178" s="121"/>
      <c r="H178" s="121"/>
      <c r="I178" s="121"/>
      <c r="J178" s="125">
        <f t="shared" si="16"/>
        <v>0</v>
      </c>
      <c r="K178" s="122"/>
      <c r="L178" s="122"/>
      <c r="M178" s="120"/>
      <c r="N178" s="120"/>
      <c r="O178" s="120"/>
      <c r="P178" s="116">
        <f t="shared" si="17"/>
        <v>0</v>
      </c>
      <c r="Q178" s="120"/>
      <c r="R178" s="120"/>
      <c r="S178" s="120"/>
      <c r="T178" s="120"/>
      <c r="U178" s="120"/>
      <c r="V178" s="120"/>
      <c r="W178" s="117"/>
      <c r="X178" s="117">
        <f t="shared" si="2"/>
        <v>0</v>
      </c>
      <c r="Y178" s="172"/>
    </row>
    <row r="179" spans="1:25" ht="110.25">
      <c r="A179" s="469"/>
      <c r="B179" s="469"/>
      <c r="C179" s="469"/>
      <c r="D179" s="106">
        <v>170</v>
      </c>
      <c r="E179" s="106" t="s">
        <v>275</v>
      </c>
      <c r="F179" s="120"/>
      <c r="G179" s="120"/>
      <c r="H179" s="120"/>
      <c r="I179" s="120"/>
      <c r="J179" s="116">
        <f t="shared" si="16"/>
        <v>0</v>
      </c>
      <c r="K179" s="120"/>
      <c r="L179" s="120"/>
      <c r="M179" s="120"/>
      <c r="N179" s="120"/>
      <c r="O179" s="120"/>
      <c r="P179" s="116">
        <f t="shared" si="17"/>
        <v>0</v>
      </c>
      <c r="Q179" s="120"/>
      <c r="R179" s="120"/>
      <c r="S179" s="120"/>
      <c r="T179" s="120"/>
      <c r="U179" s="120"/>
      <c r="V179" s="120"/>
      <c r="W179" s="117"/>
      <c r="X179" s="117">
        <f t="shared" si="2"/>
        <v>0</v>
      </c>
      <c r="Y179" s="172"/>
    </row>
    <row r="180" spans="1:25" ht="47.25">
      <c r="A180" s="469"/>
      <c r="B180" s="476" t="s">
        <v>276</v>
      </c>
      <c r="C180" s="476" t="s">
        <v>277</v>
      </c>
      <c r="D180" s="106">
        <v>171</v>
      </c>
      <c r="E180" s="106" t="s">
        <v>278</v>
      </c>
      <c r="F180" s="120"/>
      <c r="G180" s="120"/>
      <c r="H180" s="120"/>
      <c r="I180" s="120"/>
      <c r="J180" s="116">
        <f t="shared" si="16"/>
        <v>0</v>
      </c>
      <c r="K180" s="120"/>
      <c r="L180" s="120"/>
      <c r="M180" s="120"/>
      <c r="N180" s="120"/>
      <c r="O180" s="120"/>
      <c r="P180" s="116">
        <f t="shared" si="17"/>
        <v>0</v>
      </c>
      <c r="Q180" s="120"/>
      <c r="R180" s="120"/>
      <c r="S180" s="120"/>
      <c r="T180" s="120"/>
      <c r="U180" s="120"/>
      <c r="V180" s="120"/>
      <c r="W180" s="117"/>
      <c r="X180" s="117">
        <f t="shared" si="2"/>
        <v>0</v>
      </c>
      <c r="Y180" s="172"/>
    </row>
    <row r="181" spans="1:25" ht="47.25">
      <c r="A181" s="469"/>
      <c r="B181" s="469"/>
      <c r="C181" s="469"/>
      <c r="D181" s="106">
        <v>172</v>
      </c>
      <c r="E181" s="106" t="s">
        <v>279</v>
      </c>
      <c r="F181" s="120"/>
      <c r="G181" s="120"/>
      <c r="H181" s="120"/>
      <c r="I181" s="120"/>
      <c r="J181" s="116">
        <f t="shared" si="16"/>
        <v>0</v>
      </c>
      <c r="K181" s="120"/>
      <c r="L181" s="120"/>
      <c r="M181" s="120"/>
      <c r="N181" s="120"/>
      <c r="O181" s="120"/>
      <c r="P181" s="116">
        <f t="shared" si="17"/>
        <v>0</v>
      </c>
      <c r="Q181" s="120"/>
      <c r="R181" s="120"/>
      <c r="S181" s="122"/>
      <c r="T181" s="122"/>
      <c r="U181" s="120"/>
      <c r="V181" s="120"/>
      <c r="W181" s="117"/>
      <c r="X181" s="117">
        <f t="shared" si="2"/>
        <v>0</v>
      </c>
      <c r="Y181" s="172"/>
    </row>
    <row r="182" spans="1:25" ht="47.25">
      <c r="A182" s="469"/>
      <c r="B182" s="469"/>
      <c r="C182" s="469"/>
      <c r="D182" s="106">
        <v>173</v>
      </c>
      <c r="E182" s="106" t="s">
        <v>280</v>
      </c>
      <c r="F182" s="120"/>
      <c r="G182" s="120"/>
      <c r="H182" s="120"/>
      <c r="I182" s="120"/>
      <c r="J182" s="116">
        <f t="shared" si="16"/>
        <v>0</v>
      </c>
      <c r="K182" s="120"/>
      <c r="L182" s="120"/>
      <c r="M182" s="120"/>
      <c r="N182" s="120"/>
      <c r="O182" s="120"/>
      <c r="P182" s="116">
        <f t="shared" si="17"/>
        <v>0</v>
      </c>
      <c r="Q182" s="120"/>
      <c r="R182" s="120"/>
      <c r="S182" s="120"/>
      <c r="T182" s="120"/>
      <c r="U182" s="120"/>
      <c r="V182" s="120"/>
      <c r="W182" s="117"/>
      <c r="X182" s="117">
        <f t="shared" si="2"/>
        <v>0</v>
      </c>
      <c r="Y182" s="172"/>
    </row>
    <row r="183" spans="1:25" ht="31.5">
      <c r="A183" s="469"/>
      <c r="B183" s="469"/>
      <c r="C183" s="469"/>
      <c r="D183" s="106">
        <v>174</v>
      </c>
      <c r="E183" s="106" t="s">
        <v>281</v>
      </c>
      <c r="F183" s="120"/>
      <c r="G183" s="120"/>
      <c r="H183" s="120"/>
      <c r="I183" s="120"/>
      <c r="J183" s="116">
        <f t="shared" si="16"/>
        <v>0</v>
      </c>
      <c r="K183" s="120"/>
      <c r="L183" s="120"/>
      <c r="M183" s="120"/>
      <c r="N183" s="120"/>
      <c r="O183" s="120"/>
      <c r="P183" s="116">
        <f t="shared" si="17"/>
        <v>0</v>
      </c>
      <c r="Q183" s="120"/>
      <c r="R183" s="120"/>
      <c r="S183" s="122"/>
      <c r="T183" s="122"/>
      <c r="U183" s="120"/>
      <c r="V183" s="120"/>
      <c r="W183" s="117"/>
      <c r="X183" s="117">
        <f t="shared" si="2"/>
        <v>0</v>
      </c>
      <c r="Y183" s="172"/>
    </row>
    <row r="184" spans="1:25" ht="204.75">
      <c r="A184" s="469"/>
      <c r="B184" s="476" t="s">
        <v>282</v>
      </c>
      <c r="C184" s="476" t="s">
        <v>230</v>
      </c>
      <c r="D184" s="106">
        <v>175</v>
      </c>
      <c r="E184" s="106" t="s">
        <v>231</v>
      </c>
      <c r="F184" s="167"/>
      <c r="G184" s="167"/>
      <c r="H184" s="167"/>
      <c r="I184" s="167"/>
      <c r="J184" s="116">
        <f t="shared" si="16"/>
        <v>0</v>
      </c>
      <c r="K184" s="168"/>
      <c r="L184" s="168"/>
      <c r="M184" s="167"/>
      <c r="N184" s="167"/>
      <c r="O184" s="167"/>
      <c r="P184" s="116">
        <f t="shared" si="17"/>
        <v>0</v>
      </c>
      <c r="Q184" s="167"/>
      <c r="R184" s="167"/>
      <c r="S184" s="168"/>
      <c r="T184" s="168">
        <v>54.42</v>
      </c>
      <c r="U184" s="168"/>
      <c r="V184" s="168"/>
      <c r="W184" s="117"/>
      <c r="X184" s="117">
        <f t="shared" si="2"/>
        <v>54.42</v>
      </c>
      <c r="Y184" s="397" t="s">
        <v>697</v>
      </c>
    </row>
    <row r="185" spans="1:25" ht="362.25">
      <c r="A185" s="469"/>
      <c r="B185" s="469"/>
      <c r="C185" s="469"/>
      <c r="D185" s="106">
        <v>176</v>
      </c>
      <c r="E185" s="106" t="s">
        <v>232</v>
      </c>
      <c r="F185" s="120"/>
      <c r="G185" s="120"/>
      <c r="H185" s="120"/>
      <c r="I185" s="120"/>
      <c r="J185" s="116">
        <f t="shared" si="16"/>
        <v>0</v>
      </c>
      <c r="K185" s="120"/>
      <c r="L185" s="120"/>
      <c r="M185" s="120"/>
      <c r="N185" s="120"/>
      <c r="O185" s="120"/>
      <c r="P185" s="116">
        <f t="shared" si="17"/>
        <v>0</v>
      </c>
      <c r="Q185" s="121"/>
      <c r="R185" s="121">
        <v>9</v>
      </c>
      <c r="S185" s="121"/>
      <c r="T185" s="121">
        <v>15.99</v>
      </c>
      <c r="U185" s="120"/>
      <c r="V185" s="120"/>
      <c r="W185" s="117"/>
      <c r="X185" s="117">
        <f t="shared" si="2"/>
        <v>24.990000000000002</v>
      </c>
      <c r="Y185" s="397" t="s">
        <v>698</v>
      </c>
    </row>
    <row r="186" spans="1:25" ht="29.25" hidden="1" customHeight="1">
      <c r="A186" s="469"/>
      <c r="B186" s="469"/>
      <c r="C186" s="469"/>
      <c r="D186" s="106">
        <v>177</v>
      </c>
      <c r="E186" s="106" t="s">
        <v>233</v>
      </c>
      <c r="F186" s="120"/>
      <c r="G186" s="120"/>
      <c r="H186" s="120"/>
      <c r="I186" s="120"/>
      <c r="J186" s="116">
        <f t="shared" si="16"/>
        <v>0</v>
      </c>
      <c r="K186" s="120"/>
      <c r="L186" s="120"/>
      <c r="M186" s="120"/>
      <c r="N186" s="120"/>
      <c r="O186" s="120"/>
      <c r="P186" s="116">
        <f t="shared" si="17"/>
        <v>0</v>
      </c>
      <c r="Q186" s="120"/>
      <c r="R186" s="120"/>
      <c r="S186" s="120"/>
      <c r="T186" s="120"/>
      <c r="U186" s="120"/>
      <c r="V186" s="120"/>
      <c r="W186" s="117"/>
      <c r="X186" s="117">
        <f t="shared" si="2"/>
        <v>0</v>
      </c>
      <c r="Y186" s="172"/>
    </row>
    <row r="187" spans="1:25" ht="63">
      <c r="A187" s="469"/>
      <c r="B187" s="476" t="s">
        <v>283</v>
      </c>
      <c r="C187" s="476" t="s">
        <v>284</v>
      </c>
      <c r="D187" s="106">
        <v>178</v>
      </c>
      <c r="E187" s="106" t="s">
        <v>285</v>
      </c>
      <c r="F187" s="120"/>
      <c r="G187" s="120"/>
      <c r="H187" s="120"/>
      <c r="I187" s="120"/>
      <c r="J187" s="116">
        <f t="shared" si="16"/>
        <v>0</v>
      </c>
      <c r="K187" s="120"/>
      <c r="L187" s="120"/>
      <c r="M187" s="120"/>
      <c r="N187" s="120"/>
      <c r="O187" s="120"/>
      <c r="P187" s="116">
        <f t="shared" si="17"/>
        <v>0</v>
      </c>
      <c r="Q187" s="120"/>
      <c r="R187" s="120"/>
      <c r="S187" s="120"/>
      <c r="T187" s="120"/>
      <c r="U187" s="120"/>
      <c r="V187" s="120"/>
      <c r="W187" s="117"/>
      <c r="X187" s="117">
        <f t="shared" si="2"/>
        <v>0</v>
      </c>
      <c r="Y187" s="172"/>
    </row>
    <row r="188" spans="1:25" ht="15.75">
      <c r="A188" s="469"/>
      <c r="B188" s="469"/>
      <c r="C188" s="469"/>
      <c r="D188" s="106">
        <v>179</v>
      </c>
      <c r="E188" s="106" t="s">
        <v>125</v>
      </c>
      <c r="F188" s="120"/>
      <c r="G188" s="120"/>
      <c r="H188" s="120"/>
      <c r="I188" s="120"/>
      <c r="J188" s="116">
        <f t="shared" si="16"/>
        <v>0</v>
      </c>
      <c r="K188" s="120"/>
      <c r="L188" s="120"/>
      <c r="M188" s="120"/>
      <c r="N188" s="120"/>
      <c r="O188" s="120"/>
      <c r="P188" s="116">
        <f t="shared" si="17"/>
        <v>0</v>
      </c>
      <c r="Q188" s="120"/>
      <c r="R188" s="120"/>
      <c r="S188" s="120"/>
      <c r="T188" s="120"/>
      <c r="U188" s="120"/>
      <c r="V188" s="120"/>
      <c r="W188" s="117"/>
      <c r="X188" s="117">
        <f t="shared" si="2"/>
        <v>0</v>
      </c>
      <c r="Y188" s="150"/>
    </row>
    <row r="189" spans="1:25" ht="47.25">
      <c r="A189" s="469"/>
      <c r="B189" s="469"/>
      <c r="C189" s="469"/>
      <c r="D189" s="106">
        <v>180</v>
      </c>
      <c r="E189" s="106" t="s">
        <v>286</v>
      </c>
      <c r="F189" s="120"/>
      <c r="G189" s="120"/>
      <c r="H189" s="120"/>
      <c r="I189" s="120"/>
      <c r="J189" s="116">
        <f t="shared" si="16"/>
        <v>0</v>
      </c>
      <c r="K189" s="120"/>
      <c r="L189" s="120"/>
      <c r="M189" s="120"/>
      <c r="N189" s="120"/>
      <c r="O189" s="122"/>
      <c r="P189" s="117">
        <f t="shared" si="17"/>
        <v>0</v>
      </c>
      <c r="Q189" s="120"/>
      <c r="R189" s="120"/>
      <c r="S189" s="121"/>
      <c r="T189" s="121"/>
      <c r="U189" s="120"/>
      <c r="V189" s="120"/>
      <c r="W189" s="117"/>
      <c r="X189" s="117">
        <f t="shared" si="2"/>
        <v>0</v>
      </c>
      <c r="Y189" s="150"/>
    </row>
    <row r="190" spans="1:25" ht="63">
      <c r="A190" s="469"/>
      <c r="B190" s="469"/>
      <c r="C190" s="469"/>
      <c r="D190" s="106">
        <v>181</v>
      </c>
      <c r="E190" s="106" t="s">
        <v>287</v>
      </c>
      <c r="F190" s="120"/>
      <c r="G190" s="120"/>
      <c r="H190" s="120"/>
      <c r="I190" s="120"/>
      <c r="J190" s="116">
        <f t="shared" si="16"/>
        <v>0</v>
      </c>
      <c r="K190" s="120"/>
      <c r="L190" s="120"/>
      <c r="M190" s="120"/>
      <c r="N190" s="120"/>
      <c r="O190" s="120"/>
      <c r="P190" s="116">
        <f t="shared" si="17"/>
        <v>0</v>
      </c>
      <c r="Q190" s="120"/>
      <c r="R190" s="120"/>
      <c r="S190" s="120"/>
      <c r="T190" s="120"/>
      <c r="U190" s="120"/>
      <c r="V190" s="120"/>
      <c r="W190" s="117"/>
      <c r="X190" s="117">
        <f t="shared" si="2"/>
        <v>0</v>
      </c>
      <c r="Y190" s="150"/>
    </row>
    <row r="191" spans="1:25" ht="31.5">
      <c r="A191" s="469"/>
      <c r="B191" s="469"/>
      <c r="C191" s="469"/>
      <c r="D191" s="106">
        <v>182</v>
      </c>
      <c r="E191" s="106" t="s">
        <v>288</v>
      </c>
      <c r="F191" s="120"/>
      <c r="G191" s="120"/>
      <c r="H191" s="120"/>
      <c r="I191" s="120"/>
      <c r="J191" s="116">
        <f t="shared" si="16"/>
        <v>0</v>
      </c>
      <c r="K191" s="120"/>
      <c r="L191" s="120"/>
      <c r="M191" s="120"/>
      <c r="N191" s="120"/>
      <c r="O191" s="120"/>
      <c r="P191" s="116">
        <f t="shared" si="17"/>
        <v>0</v>
      </c>
      <c r="Q191" s="120"/>
      <c r="R191" s="120"/>
      <c r="S191" s="122"/>
      <c r="T191" s="122"/>
      <c r="U191" s="120"/>
      <c r="V191" s="120"/>
      <c r="W191" s="117"/>
      <c r="X191" s="117">
        <f t="shared" si="2"/>
        <v>0</v>
      </c>
      <c r="Y191" s="150"/>
    </row>
    <row r="192" spans="1:25" ht="78.75" hidden="1">
      <c r="A192" s="469"/>
      <c r="B192" s="469"/>
      <c r="C192" s="469"/>
      <c r="D192" s="106">
        <v>183</v>
      </c>
      <c r="E192" s="106" t="s">
        <v>289</v>
      </c>
      <c r="F192" s="120"/>
      <c r="G192" s="120"/>
      <c r="H192" s="120"/>
      <c r="I192" s="120"/>
      <c r="J192" s="116">
        <f t="shared" si="16"/>
        <v>0</v>
      </c>
      <c r="K192" s="120"/>
      <c r="L192" s="120"/>
      <c r="M192" s="120"/>
      <c r="N192" s="120"/>
      <c r="O192" s="120"/>
      <c r="P192" s="116">
        <f t="shared" si="17"/>
        <v>0</v>
      </c>
      <c r="Q192" s="120"/>
      <c r="R192" s="120"/>
      <c r="S192" s="121"/>
      <c r="T192" s="121"/>
      <c r="U192" s="120"/>
      <c r="V192" s="120"/>
      <c r="W192" s="117"/>
      <c r="X192" s="117">
        <f t="shared" si="2"/>
        <v>0</v>
      </c>
      <c r="Y192" s="150"/>
    </row>
    <row r="193" spans="1:25" ht="78.75">
      <c r="A193" s="469"/>
      <c r="B193" s="106" t="s">
        <v>290</v>
      </c>
      <c r="C193" s="106" t="s">
        <v>291</v>
      </c>
      <c r="D193" s="106">
        <v>184</v>
      </c>
      <c r="E193" s="106" t="s">
        <v>292</v>
      </c>
      <c r="F193" s="120"/>
      <c r="G193" s="120"/>
      <c r="H193" s="120"/>
      <c r="I193" s="120"/>
      <c r="J193" s="116">
        <f t="shared" si="16"/>
        <v>0</v>
      </c>
      <c r="K193" s="120"/>
      <c r="L193" s="120"/>
      <c r="M193" s="120"/>
      <c r="N193" s="120"/>
      <c r="O193" s="120"/>
      <c r="P193" s="116">
        <f t="shared" si="17"/>
        <v>0</v>
      </c>
      <c r="Q193" s="120"/>
      <c r="R193" s="120"/>
      <c r="S193" s="122"/>
      <c r="T193" s="122"/>
      <c r="U193" s="120"/>
      <c r="V193" s="120"/>
      <c r="W193" s="117"/>
      <c r="X193" s="117">
        <f t="shared" si="2"/>
        <v>0</v>
      </c>
      <c r="Y193" s="150"/>
    </row>
    <row r="194" spans="1:25" ht="47.25">
      <c r="A194" s="469"/>
      <c r="B194" s="476" t="s">
        <v>293</v>
      </c>
      <c r="C194" s="476" t="s">
        <v>235</v>
      </c>
      <c r="D194" s="106">
        <v>185</v>
      </c>
      <c r="E194" s="106" t="s">
        <v>236</v>
      </c>
      <c r="F194" s="120"/>
      <c r="G194" s="120"/>
      <c r="H194" s="120"/>
      <c r="I194" s="120"/>
      <c r="J194" s="116">
        <f t="shared" si="16"/>
        <v>0</v>
      </c>
      <c r="K194" s="120"/>
      <c r="L194" s="120"/>
      <c r="M194" s="120"/>
      <c r="N194" s="120"/>
      <c r="O194" s="120"/>
      <c r="P194" s="116">
        <f t="shared" si="17"/>
        <v>0</v>
      </c>
      <c r="Q194" s="120"/>
      <c r="R194" s="120"/>
      <c r="S194" s="120"/>
      <c r="T194" s="120">
        <v>2733.57494</v>
      </c>
      <c r="U194" s="120"/>
      <c r="V194" s="120"/>
      <c r="W194" s="117"/>
      <c r="X194" s="117">
        <f t="shared" si="2"/>
        <v>2733.57494</v>
      </c>
      <c r="Y194" s="172" t="s">
        <v>992</v>
      </c>
    </row>
    <row r="195" spans="1:25" ht="346.5">
      <c r="A195" s="469"/>
      <c r="B195" s="469"/>
      <c r="C195" s="469"/>
      <c r="D195" s="106">
        <v>186</v>
      </c>
      <c r="E195" s="106" t="s">
        <v>237</v>
      </c>
      <c r="F195" s="120">
        <v>0.63900000000000001</v>
      </c>
      <c r="G195" s="120"/>
      <c r="H195" s="120"/>
      <c r="I195" s="120"/>
      <c r="J195" s="116">
        <f t="shared" si="16"/>
        <v>0</v>
      </c>
      <c r="K195" s="120"/>
      <c r="L195" s="120"/>
      <c r="M195" s="120"/>
      <c r="N195" s="120"/>
      <c r="O195" s="120"/>
      <c r="P195" s="116">
        <f t="shared" si="17"/>
        <v>0</v>
      </c>
      <c r="Q195" s="120"/>
      <c r="R195" s="120"/>
      <c r="S195" s="121"/>
      <c r="T195" s="121">
        <f>7.6+92.022</f>
        <v>99.622</v>
      </c>
      <c r="U195" s="120"/>
      <c r="V195" s="120"/>
      <c r="W195" s="117"/>
      <c r="X195" s="117">
        <f t="shared" si="2"/>
        <v>100.261</v>
      </c>
      <c r="Y195" s="172" t="s">
        <v>974</v>
      </c>
    </row>
    <row r="196" spans="1:25" ht="31.5">
      <c r="A196" s="469"/>
      <c r="B196" s="469"/>
      <c r="C196" s="469"/>
      <c r="D196" s="106">
        <v>187</v>
      </c>
      <c r="E196" s="106" t="s">
        <v>294</v>
      </c>
      <c r="F196" s="120"/>
      <c r="G196" s="120"/>
      <c r="H196" s="120"/>
      <c r="I196" s="120"/>
      <c r="J196" s="116">
        <f t="shared" si="16"/>
        <v>0</v>
      </c>
      <c r="K196" s="120"/>
      <c r="L196" s="120"/>
      <c r="M196" s="120"/>
      <c r="N196" s="120"/>
      <c r="O196" s="120"/>
      <c r="P196" s="116">
        <f t="shared" si="17"/>
        <v>0</v>
      </c>
      <c r="Q196" s="120"/>
      <c r="R196" s="120"/>
      <c r="S196" s="120"/>
      <c r="T196" s="120">
        <v>1086.309</v>
      </c>
      <c r="U196" s="120"/>
      <c r="V196" s="120"/>
      <c r="W196" s="117"/>
      <c r="X196" s="117">
        <f t="shared" si="2"/>
        <v>1086.309</v>
      </c>
      <c r="Y196" s="172" t="s">
        <v>993</v>
      </c>
    </row>
    <row r="197" spans="1:25" ht="31.5">
      <c r="A197" s="469"/>
      <c r="B197" s="469"/>
      <c r="C197" s="469"/>
      <c r="D197" s="106">
        <v>188</v>
      </c>
      <c r="E197" s="106" t="s">
        <v>238</v>
      </c>
      <c r="F197" s="120"/>
      <c r="G197" s="120"/>
      <c r="H197" s="120"/>
      <c r="I197" s="120"/>
      <c r="J197" s="116">
        <f t="shared" si="16"/>
        <v>0</v>
      </c>
      <c r="K197" s="120"/>
      <c r="L197" s="120"/>
      <c r="M197" s="120"/>
      <c r="N197" s="120"/>
      <c r="O197" s="120"/>
      <c r="P197" s="116">
        <f t="shared" si="17"/>
        <v>0</v>
      </c>
      <c r="Q197" s="120"/>
      <c r="R197" s="120"/>
      <c r="S197" s="120"/>
      <c r="T197" s="120"/>
      <c r="U197" s="120"/>
      <c r="V197" s="120"/>
      <c r="W197" s="117"/>
      <c r="X197" s="117">
        <f t="shared" si="2"/>
        <v>0</v>
      </c>
      <c r="Y197" s="172"/>
    </row>
    <row r="198" spans="1:25" ht="63">
      <c r="A198" s="469"/>
      <c r="B198" s="469"/>
      <c r="C198" s="469"/>
      <c r="D198" s="106">
        <v>189</v>
      </c>
      <c r="E198" s="106" t="s">
        <v>295</v>
      </c>
      <c r="F198" s="120"/>
      <c r="G198" s="120"/>
      <c r="H198" s="120"/>
      <c r="I198" s="120"/>
      <c r="J198" s="116">
        <f t="shared" si="16"/>
        <v>0</v>
      </c>
      <c r="K198" s="120"/>
      <c r="L198" s="120"/>
      <c r="M198" s="120"/>
      <c r="N198" s="120"/>
      <c r="O198" s="120"/>
      <c r="P198" s="116">
        <f t="shared" si="17"/>
        <v>0</v>
      </c>
      <c r="Q198" s="120"/>
      <c r="R198" s="120"/>
      <c r="S198" s="120"/>
      <c r="T198" s="120"/>
      <c r="U198" s="120"/>
      <c r="V198" s="120"/>
      <c r="W198" s="117"/>
      <c r="X198" s="117">
        <f t="shared" si="2"/>
        <v>0</v>
      </c>
      <c r="Y198" s="172"/>
    </row>
    <row r="199" spans="1:25" ht="78.75" hidden="1">
      <c r="A199" s="469"/>
      <c r="B199" s="469"/>
      <c r="C199" s="469"/>
      <c r="D199" s="106">
        <v>190</v>
      </c>
      <c r="E199" s="106" t="s">
        <v>296</v>
      </c>
      <c r="F199" s="120"/>
      <c r="G199" s="120"/>
      <c r="H199" s="120"/>
      <c r="I199" s="120"/>
      <c r="J199" s="116">
        <f t="shared" si="16"/>
        <v>0</v>
      </c>
      <c r="K199" s="120"/>
      <c r="L199" s="120"/>
      <c r="M199" s="120"/>
      <c r="N199" s="120"/>
      <c r="O199" s="120"/>
      <c r="P199" s="116">
        <f t="shared" si="17"/>
        <v>0</v>
      </c>
      <c r="Q199" s="120"/>
      <c r="R199" s="120"/>
      <c r="S199" s="121"/>
      <c r="T199" s="121"/>
      <c r="U199" s="120"/>
      <c r="V199" s="120"/>
      <c r="W199" s="117"/>
      <c r="X199" s="117">
        <f t="shared" si="2"/>
        <v>0</v>
      </c>
      <c r="Y199" s="172"/>
    </row>
    <row r="200" spans="1:25" ht="63">
      <c r="A200" s="469"/>
      <c r="B200" s="476" t="s">
        <v>297</v>
      </c>
      <c r="C200" s="476" t="s">
        <v>298</v>
      </c>
      <c r="D200" s="106">
        <v>191</v>
      </c>
      <c r="E200" s="106" t="s">
        <v>299</v>
      </c>
      <c r="F200" s="120"/>
      <c r="G200" s="120"/>
      <c r="H200" s="120"/>
      <c r="I200" s="120"/>
      <c r="J200" s="116">
        <f t="shared" si="16"/>
        <v>0</v>
      </c>
      <c r="K200" s="120"/>
      <c r="L200" s="120"/>
      <c r="M200" s="120"/>
      <c r="N200" s="120"/>
      <c r="O200" s="120"/>
      <c r="P200" s="116">
        <f t="shared" si="17"/>
        <v>0</v>
      </c>
      <c r="Q200" s="120"/>
      <c r="R200" s="120"/>
      <c r="S200" s="120"/>
      <c r="T200" s="120">
        <f>7.9+2.54</f>
        <v>10.440000000000001</v>
      </c>
      <c r="U200" s="120"/>
      <c r="V200" s="120"/>
      <c r="W200" s="117"/>
      <c r="X200" s="117">
        <f t="shared" si="2"/>
        <v>10.440000000000001</v>
      </c>
      <c r="Y200" s="98" t="s">
        <v>1195</v>
      </c>
    </row>
    <row r="201" spans="1:25" ht="47.25">
      <c r="A201" s="469"/>
      <c r="B201" s="469"/>
      <c r="C201" s="469"/>
      <c r="D201" s="106">
        <v>192</v>
      </c>
      <c r="E201" s="106" t="s">
        <v>300</v>
      </c>
      <c r="F201" s="120"/>
      <c r="G201" s="120"/>
      <c r="H201" s="120"/>
      <c r="I201" s="121"/>
      <c r="J201" s="125">
        <f t="shared" si="16"/>
        <v>0</v>
      </c>
      <c r="K201" s="120"/>
      <c r="L201" s="120"/>
      <c r="M201" s="120"/>
      <c r="N201" s="120"/>
      <c r="O201" s="120"/>
      <c r="P201" s="116">
        <f t="shared" si="17"/>
        <v>0</v>
      </c>
      <c r="Q201" s="120"/>
      <c r="R201" s="120"/>
      <c r="S201" s="122"/>
      <c r="T201" s="122"/>
      <c r="U201" s="120"/>
      <c r="V201" s="120"/>
      <c r="W201" s="117"/>
      <c r="X201" s="117">
        <f t="shared" si="2"/>
        <v>0</v>
      </c>
      <c r="Y201" s="172"/>
    </row>
    <row r="202" spans="1:25" ht="63">
      <c r="A202" s="469"/>
      <c r="B202" s="476" t="s">
        <v>301</v>
      </c>
      <c r="C202" s="476" t="s">
        <v>241</v>
      </c>
      <c r="D202" s="106">
        <v>193</v>
      </c>
      <c r="E202" s="106" t="s">
        <v>302</v>
      </c>
      <c r="F202" s="120"/>
      <c r="G202" s="120"/>
      <c r="H202" s="120"/>
      <c r="I202" s="120"/>
      <c r="J202" s="116">
        <f t="shared" si="16"/>
        <v>0</v>
      </c>
      <c r="K202" s="120"/>
      <c r="L202" s="120"/>
      <c r="M202" s="120"/>
      <c r="N202" s="120"/>
      <c r="O202" s="120"/>
      <c r="P202" s="116">
        <f t="shared" si="17"/>
        <v>0</v>
      </c>
      <c r="Q202" s="120"/>
      <c r="R202" s="120"/>
      <c r="S202" s="122"/>
      <c r="T202" s="122"/>
      <c r="U202" s="121"/>
      <c r="V202" s="121"/>
      <c r="W202" s="117"/>
      <c r="X202" s="117">
        <f t="shared" si="2"/>
        <v>0</v>
      </c>
      <c r="Y202" s="172"/>
    </row>
    <row r="203" spans="1:25" ht="47.25">
      <c r="A203" s="469"/>
      <c r="B203" s="469"/>
      <c r="C203" s="469"/>
      <c r="D203" s="106">
        <v>194</v>
      </c>
      <c r="E203" s="106" t="s">
        <v>242</v>
      </c>
      <c r="F203" s="120"/>
      <c r="G203" s="120"/>
      <c r="H203" s="120"/>
      <c r="I203" s="120"/>
      <c r="J203" s="116">
        <f t="shared" si="16"/>
        <v>0</v>
      </c>
      <c r="K203" s="120"/>
      <c r="L203" s="120"/>
      <c r="M203" s="120"/>
      <c r="N203" s="120"/>
      <c r="O203" s="120"/>
      <c r="P203" s="116">
        <f t="shared" si="17"/>
        <v>0</v>
      </c>
      <c r="Q203" s="120"/>
      <c r="R203" s="120"/>
      <c r="S203" s="120"/>
      <c r="T203" s="120">
        <v>94.19</v>
      </c>
      <c r="U203" s="120"/>
      <c r="V203" s="120"/>
      <c r="W203" s="117"/>
      <c r="X203" s="117">
        <f t="shared" si="2"/>
        <v>94.19</v>
      </c>
      <c r="Y203" s="98" t="s">
        <v>1221</v>
      </c>
    </row>
    <row r="204" spans="1:25" ht="63" hidden="1">
      <c r="A204" s="469"/>
      <c r="B204" s="476" t="s">
        <v>303</v>
      </c>
      <c r="C204" s="476" t="s">
        <v>304</v>
      </c>
      <c r="D204" s="106">
        <v>195</v>
      </c>
      <c r="E204" s="106" t="s">
        <v>305</v>
      </c>
      <c r="F204" s="120"/>
      <c r="G204" s="120"/>
      <c r="H204" s="120"/>
      <c r="I204" s="120"/>
      <c r="J204" s="116">
        <f t="shared" si="16"/>
        <v>0</v>
      </c>
      <c r="K204" s="120"/>
      <c r="L204" s="120"/>
      <c r="M204" s="120"/>
      <c r="N204" s="120"/>
      <c r="O204" s="120"/>
      <c r="P204" s="116">
        <f t="shared" si="17"/>
        <v>0</v>
      </c>
      <c r="Q204" s="120"/>
      <c r="R204" s="120"/>
      <c r="S204" s="122"/>
      <c r="T204" s="122"/>
      <c r="U204" s="120"/>
      <c r="V204" s="120"/>
      <c r="W204" s="117"/>
      <c r="X204" s="117">
        <f t="shared" si="2"/>
        <v>0</v>
      </c>
      <c r="Y204" s="172"/>
    </row>
    <row r="205" spans="1:25" ht="31.5" hidden="1">
      <c r="A205" s="469"/>
      <c r="B205" s="469"/>
      <c r="C205" s="469"/>
      <c r="D205" s="106">
        <v>196</v>
      </c>
      <c r="E205" s="106" t="s">
        <v>306</v>
      </c>
      <c r="F205" s="120"/>
      <c r="G205" s="120"/>
      <c r="H205" s="120"/>
      <c r="I205" s="120"/>
      <c r="J205" s="116">
        <f t="shared" si="16"/>
        <v>0</v>
      </c>
      <c r="K205" s="120"/>
      <c r="L205" s="120"/>
      <c r="M205" s="120"/>
      <c r="N205" s="120"/>
      <c r="O205" s="120"/>
      <c r="P205" s="116">
        <f t="shared" si="17"/>
        <v>0</v>
      </c>
      <c r="Q205" s="120"/>
      <c r="R205" s="120"/>
      <c r="S205" s="120"/>
      <c r="T205" s="120"/>
      <c r="U205" s="120"/>
      <c r="V205" s="120"/>
      <c r="W205" s="117"/>
      <c r="X205" s="117">
        <f t="shared" si="2"/>
        <v>0</v>
      </c>
      <c r="Y205" s="172"/>
    </row>
    <row r="206" spans="1:25" ht="31.5" hidden="1">
      <c r="A206" s="469"/>
      <c r="B206" s="469"/>
      <c r="C206" s="469"/>
      <c r="D206" s="106">
        <v>197</v>
      </c>
      <c r="E206" s="106" t="s">
        <v>307</v>
      </c>
      <c r="F206" s="135"/>
      <c r="G206" s="135"/>
      <c r="H206" s="135"/>
      <c r="I206" s="135"/>
      <c r="J206" s="116">
        <f t="shared" si="16"/>
        <v>0</v>
      </c>
      <c r="K206" s="135"/>
      <c r="L206" s="135"/>
      <c r="M206" s="135"/>
      <c r="N206" s="135"/>
      <c r="O206" s="135"/>
      <c r="P206" s="116">
        <f t="shared" si="17"/>
        <v>0</v>
      </c>
      <c r="Q206" s="135"/>
      <c r="R206" s="135"/>
      <c r="S206" s="170"/>
      <c r="T206" s="170"/>
      <c r="U206" s="129"/>
      <c r="V206" s="129"/>
      <c r="W206" s="171"/>
      <c r="X206" s="117">
        <f t="shared" si="2"/>
        <v>0</v>
      </c>
      <c r="Y206" s="172"/>
    </row>
    <row r="207" spans="1:25" ht="78.75" hidden="1">
      <c r="A207" s="469"/>
      <c r="B207" s="106" t="s">
        <v>308</v>
      </c>
      <c r="C207" s="106" t="s">
        <v>246</v>
      </c>
      <c r="D207" s="106">
        <v>198</v>
      </c>
      <c r="E207" s="106" t="s">
        <v>247</v>
      </c>
      <c r="F207" s="120"/>
      <c r="G207" s="120"/>
      <c r="H207" s="120"/>
      <c r="I207" s="120"/>
      <c r="J207" s="116">
        <f t="shared" si="16"/>
        <v>0</v>
      </c>
      <c r="K207" s="120"/>
      <c r="L207" s="120"/>
      <c r="M207" s="120"/>
      <c r="N207" s="120"/>
      <c r="O207" s="120"/>
      <c r="P207" s="116">
        <f t="shared" si="17"/>
        <v>0</v>
      </c>
      <c r="Q207" s="120"/>
      <c r="R207" s="120"/>
      <c r="S207" s="120"/>
      <c r="T207" s="120"/>
      <c r="U207" s="120"/>
      <c r="V207" s="120"/>
      <c r="W207" s="117"/>
      <c r="X207" s="117">
        <f t="shared" si="2"/>
        <v>0</v>
      </c>
      <c r="Y207" s="172"/>
    </row>
    <row r="208" spans="1:25" ht="42" customHeight="1">
      <c r="A208" s="469"/>
      <c r="B208" s="106" t="s">
        <v>309</v>
      </c>
      <c r="C208" s="106" t="s">
        <v>249</v>
      </c>
      <c r="D208" s="106">
        <v>199</v>
      </c>
      <c r="E208" s="106" t="s">
        <v>250</v>
      </c>
      <c r="F208" s="151"/>
      <c r="G208" s="151"/>
      <c r="H208" s="151"/>
      <c r="I208" s="151"/>
      <c r="J208" s="116">
        <f t="shared" si="16"/>
        <v>0</v>
      </c>
      <c r="K208" s="151"/>
      <c r="L208" s="151"/>
      <c r="M208" s="151"/>
      <c r="N208" s="151"/>
      <c r="O208" s="151"/>
      <c r="P208" s="116">
        <f t="shared" si="17"/>
        <v>0</v>
      </c>
      <c r="Q208" s="151"/>
      <c r="R208" s="151"/>
      <c r="S208" s="151"/>
      <c r="T208" s="151">
        <v>96.6</v>
      </c>
      <c r="U208" s="151"/>
      <c r="V208" s="151"/>
      <c r="W208" s="117"/>
      <c r="X208" s="117">
        <f t="shared" si="2"/>
        <v>96.6</v>
      </c>
      <c r="Y208" s="172" t="s">
        <v>988</v>
      </c>
    </row>
    <row r="209" spans="1:26" ht="63">
      <c r="A209" s="469"/>
      <c r="B209" s="106" t="s">
        <v>310</v>
      </c>
      <c r="C209" s="172" t="s">
        <v>311</v>
      </c>
      <c r="D209" s="106">
        <v>200</v>
      </c>
      <c r="E209" s="106" t="s">
        <v>312</v>
      </c>
      <c r="F209" s="173"/>
      <c r="G209" s="173"/>
      <c r="H209" s="173"/>
      <c r="I209" s="173"/>
      <c r="J209" s="116">
        <f t="shared" si="16"/>
        <v>0</v>
      </c>
      <c r="K209" s="173"/>
      <c r="L209" s="173"/>
      <c r="M209" s="173"/>
      <c r="N209" s="173"/>
      <c r="O209" s="173"/>
      <c r="P209" s="116">
        <f t="shared" si="17"/>
        <v>0</v>
      </c>
      <c r="Q209" s="173"/>
      <c r="R209" s="173"/>
      <c r="S209" s="173"/>
      <c r="T209" s="173"/>
      <c r="U209" s="173"/>
      <c r="V209" s="173"/>
      <c r="W209" s="117"/>
      <c r="X209" s="117">
        <f t="shared" si="2"/>
        <v>0</v>
      </c>
      <c r="Y209" s="172"/>
    </row>
    <row r="210" spans="1:26" ht="110.25">
      <c r="A210" s="469"/>
      <c r="B210" s="174" t="s">
        <v>313</v>
      </c>
      <c r="C210" s="174" t="s">
        <v>314</v>
      </c>
      <c r="D210" s="175">
        <v>201</v>
      </c>
      <c r="E210" s="176" t="s">
        <v>315</v>
      </c>
      <c r="F210" s="173"/>
      <c r="G210" s="173"/>
      <c r="H210" s="173"/>
      <c r="I210" s="173"/>
      <c r="J210" s="116">
        <f t="shared" si="16"/>
        <v>0</v>
      </c>
      <c r="K210" s="173"/>
      <c r="L210" s="173"/>
      <c r="M210" s="173"/>
      <c r="N210" s="173"/>
      <c r="O210" s="173"/>
      <c r="P210" s="116">
        <f t="shared" si="17"/>
        <v>0</v>
      </c>
      <c r="Q210" s="173"/>
      <c r="R210" s="173"/>
      <c r="S210" s="173"/>
      <c r="T210" s="173">
        <v>42.849200000000003</v>
      </c>
      <c r="U210" s="173"/>
      <c r="V210" s="173"/>
      <c r="W210" s="117"/>
      <c r="X210" s="117">
        <f t="shared" si="2"/>
        <v>42.849200000000003</v>
      </c>
      <c r="Y210" s="172" t="s">
        <v>1162</v>
      </c>
    </row>
    <row r="211" spans="1:26" ht="94.5">
      <c r="A211" s="469"/>
      <c r="B211" s="174" t="s">
        <v>316</v>
      </c>
      <c r="C211" s="174" t="s">
        <v>317</v>
      </c>
      <c r="D211" s="175">
        <v>202</v>
      </c>
      <c r="E211" s="176" t="s">
        <v>318</v>
      </c>
      <c r="F211" s="173"/>
      <c r="G211" s="173"/>
      <c r="H211" s="173"/>
      <c r="I211" s="173"/>
      <c r="J211" s="116">
        <f t="shared" si="16"/>
        <v>0</v>
      </c>
      <c r="K211" s="173"/>
      <c r="L211" s="173"/>
      <c r="M211" s="173"/>
      <c r="N211" s="173"/>
      <c r="O211" s="173"/>
      <c r="P211" s="116">
        <f t="shared" si="17"/>
        <v>0</v>
      </c>
      <c r="Q211" s="173"/>
      <c r="R211" s="173"/>
      <c r="S211" s="173"/>
      <c r="T211" s="173">
        <v>1163.0031200000001</v>
      </c>
      <c r="U211" s="173"/>
      <c r="V211" s="173"/>
      <c r="W211" s="117"/>
      <c r="X211" s="117">
        <f t="shared" si="2"/>
        <v>1163.0031200000001</v>
      </c>
      <c r="Y211" s="172" t="s">
        <v>559</v>
      </c>
    </row>
    <row r="212" spans="1:26" ht="157.5">
      <c r="A212" s="469"/>
      <c r="B212" s="174" t="s">
        <v>319</v>
      </c>
      <c r="C212" s="174" t="s">
        <v>320</v>
      </c>
      <c r="D212" s="175">
        <v>203</v>
      </c>
      <c r="E212" s="176" t="s">
        <v>321</v>
      </c>
      <c r="F212" s="173"/>
      <c r="G212" s="173"/>
      <c r="H212" s="173"/>
      <c r="I212" s="173"/>
      <c r="J212" s="116">
        <f t="shared" si="16"/>
        <v>0</v>
      </c>
      <c r="K212" s="173"/>
      <c r="L212" s="173"/>
      <c r="M212" s="173"/>
      <c r="N212" s="173"/>
      <c r="O212" s="173"/>
      <c r="P212" s="116">
        <f t="shared" si="17"/>
        <v>0</v>
      </c>
      <c r="Q212" s="173"/>
      <c r="R212" s="173"/>
      <c r="S212" s="173"/>
      <c r="T212" s="173"/>
      <c r="U212" s="173"/>
      <c r="V212" s="173"/>
      <c r="W212" s="117"/>
      <c r="X212" s="117">
        <f t="shared" si="2"/>
        <v>0</v>
      </c>
      <c r="Y212" s="172"/>
    </row>
    <row r="213" spans="1:26" ht="78.75">
      <c r="A213" s="469"/>
      <c r="B213" s="174" t="s">
        <v>322</v>
      </c>
      <c r="C213" s="174" t="s">
        <v>323</v>
      </c>
      <c r="D213" s="175">
        <v>204</v>
      </c>
      <c r="E213" s="176" t="s">
        <v>324</v>
      </c>
      <c r="F213" s="173"/>
      <c r="G213" s="173"/>
      <c r="H213" s="173"/>
      <c r="I213" s="173"/>
      <c r="J213" s="116">
        <f t="shared" si="16"/>
        <v>0</v>
      </c>
      <c r="K213" s="173"/>
      <c r="L213" s="173"/>
      <c r="M213" s="173"/>
      <c r="N213" s="173"/>
      <c r="O213" s="173"/>
      <c r="P213" s="116">
        <f t="shared" si="17"/>
        <v>0</v>
      </c>
      <c r="Q213" s="173"/>
      <c r="R213" s="173"/>
      <c r="S213" s="173"/>
      <c r="T213" s="173">
        <v>22.757999999999999</v>
      </c>
      <c r="U213" s="173"/>
      <c r="V213" s="173"/>
      <c r="W213" s="117"/>
      <c r="X213" s="178">
        <f t="shared" si="2"/>
        <v>22.757999999999999</v>
      </c>
      <c r="Y213" s="172" t="s">
        <v>676</v>
      </c>
    </row>
    <row r="214" spans="1:26" ht="63">
      <c r="A214" s="469"/>
      <c r="B214" s="174" t="s">
        <v>326</v>
      </c>
      <c r="C214" s="174" t="s">
        <v>291</v>
      </c>
      <c r="D214" s="175">
        <v>205</v>
      </c>
      <c r="E214" s="176" t="s">
        <v>327</v>
      </c>
      <c r="F214" s="173"/>
      <c r="G214" s="173"/>
      <c r="H214" s="173"/>
      <c r="I214" s="173"/>
      <c r="J214" s="116">
        <f t="shared" si="16"/>
        <v>0</v>
      </c>
      <c r="K214" s="173"/>
      <c r="L214" s="173"/>
      <c r="M214" s="173"/>
      <c r="N214" s="173"/>
      <c r="O214" s="173"/>
      <c r="P214" s="116">
        <f t="shared" si="17"/>
        <v>0</v>
      </c>
      <c r="Q214" s="173"/>
      <c r="R214" s="173"/>
      <c r="S214" s="173"/>
      <c r="T214" s="173">
        <v>0</v>
      </c>
      <c r="U214" s="173"/>
      <c r="V214" s="173"/>
      <c r="W214" s="117"/>
      <c r="X214" s="117">
        <f t="shared" si="2"/>
        <v>0</v>
      </c>
      <c r="Y214" s="172"/>
    </row>
    <row r="215" spans="1:26" ht="63">
      <c r="A215" s="469"/>
      <c r="B215" s="174" t="s">
        <v>329</v>
      </c>
      <c r="C215" s="174" t="s">
        <v>246</v>
      </c>
      <c r="D215" s="175">
        <v>206</v>
      </c>
      <c r="E215" s="176" t="s">
        <v>330</v>
      </c>
      <c r="F215" s="173"/>
      <c r="G215" s="173"/>
      <c r="H215" s="173"/>
      <c r="I215" s="173"/>
      <c r="J215" s="116">
        <f t="shared" si="16"/>
        <v>0</v>
      </c>
      <c r="K215" s="173"/>
      <c r="L215" s="173"/>
      <c r="M215" s="173"/>
      <c r="N215" s="173"/>
      <c r="O215" s="173"/>
      <c r="P215" s="116">
        <f t="shared" si="17"/>
        <v>0</v>
      </c>
      <c r="Q215" s="173"/>
      <c r="R215" s="173"/>
      <c r="S215" s="173"/>
      <c r="T215" s="173"/>
      <c r="U215" s="173"/>
      <c r="V215" s="173"/>
      <c r="W215" s="117"/>
      <c r="X215" s="117">
        <f t="shared" si="2"/>
        <v>0</v>
      </c>
      <c r="Y215" s="172"/>
    </row>
    <row r="216" spans="1:26" s="382" customFormat="1" ht="34.5" customHeight="1">
      <c r="A216" s="469"/>
      <c r="B216" s="478" t="s">
        <v>331</v>
      </c>
      <c r="C216" s="479"/>
      <c r="D216" s="479"/>
      <c r="E216" s="99"/>
      <c r="F216" s="100">
        <f t="shared" ref="F216:W216" si="18">SUM(F159:F215)</f>
        <v>0.63900000000000001</v>
      </c>
      <c r="G216" s="101">
        <f t="shared" si="18"/>
        <v>0</v>
      </c>
      <c r="H216" s="101">
        <f t="shared" si="18"/>
        <v>90</v>
      </c>
      <c r="I216" s="101">
        <f t="shared" si="18"/>
        <v>0</v>
      </c>
      <c r="J216" s="101">
        <f t="shared" si="18"/>
        <v>90</v>
      </c>
      <c r="K216" s="100">
        <f t="shared" si="18"/>
        <v>0</v>
      </c>
      <c r="L216" s="100">
        <f t="shared" si="18"/>
        <v>0</v>
      </c>
      <c r="M216" s="100">
        <f t="shared" si="18"/>
        <v>0</v>
      </c>
      <c r="N216" s="100">
        <f t="shared" si="18"/>
        <v>0</v>
      </c>
      <c r="O216" s="100">
        <f t="shared" si="18"/>
        <v>0</v>
      </c>
      <c r="P216" s="100">
        <f t="shared" si="18"/>
        <v>0</v>
      </c>
      <c r="Q216" s="100">
        <f t="shared" si="18"/>
        <v>0</v>
      </c>
      <c r="R216" s="100">
        <f t="shared" si="18"/>
        <v>9</v>
      </c>
      <c r="S216" s="101">
        <f t="shared" si="18"/>
        <v>0</v>
      </c>
      <c r="T216" s="101">
        <f t="shared" si="18"/>
        <v>5487.4722600000005</v>
      </c>
      <c r="U216" s="100">
        <f t="shared" si="18"/>
        <v>0</v>
      </c>
      <c r="V216" s="100">
        <f t="shared" si="18"/>
        <v>0</v>
      </c>
      <c r="W216" s="102">
        <f t="shared" si="18"/>
        <v>0</v>
      </c>
      <c r="X216" s="102">
        <f t="shared" si="2"/>
        <v>5587.1112600000006</v>
      </c>
      <c r="Y216" s="399"/>
    </row>
    <row r="217" spans="1:26" ht="57.75" customHeight="1">
      <c r="A217" s="480" t="s">
        <v>332</v>
      </c>
      <c r="B217" s="469"/>
      <c r="C217" s="469"/>
      <c r="D217" s="469"/>
      <c r="E217" s="103"/>
      <c r="F217" s="104">
        <f t="shared" ref="F217:W217" si="19">F216+F158+F134+F93+F68</f>
        <v>174.81184999999999</v>
      </c>
      <c r="G217" s="105">
        <f t="shared" si="19"/>
        <v>0</v>
      </c>
      <c r="H217" s="105">
        <f t="shared" si="19"/>
        <v>90</v>
      </c>
      <c r="I217" s="105">
        <f t="shared" si="19"/>
        <v>14.65</v>
      </c>
      <c r="J217" s="105">
        <f t="shared" si="19"/>
        <v>104.65</v>
      </c>
      <c r="K217" s="104">
        <f t="shared" si="19"/>
        <v>0</v>
      </c>
      <c r="L217" s="104">
        <f t="shared" si="19"/>
        <v>26.947499999999998</v>
      </c>
      <c r="M217" s="104">
        <f t="shared" si="19"/>
        <v>0</v>
      </c>
      <c r="N217" s="104">
        <f t="shared" si="19"/>
        <v>0</v>
      </c>
      <c r="O217" s="104">
        <f t="shared" si="19"/>
        <v>136.1079</v>
      </c>
      <c r="P217" s="104">
        <f t="shared" si="19"/>
        <v>136.1079</v>
      </c>
      <c r="Q217" s="104">
        <f t="shared" si="19"/>
        <v>0</v>
      </c>
      <c r="R217" s="104">
        <f t="shared" si="19"/>
        <v>184.1414</v>
      </c>
      <c r="S217" s="105">
        <f t="shared" si="19"/>
        <v>0</v>
      </c>
      <c r="T217" s="105">
        <f t="shared" si="19"/>
        <v>7872.405960000001</v>
      </c>
      <c r="U217" s="104">
        <f t="shared" si="19"/>
        <v>0</v>
      </c>
      <c r="V217" s="104">
        <f t="shared" si="19"/>
        <v>5.15</v>
      </c>
      <c r="W217" s="104">
        <f t="shared" si="19"/>
        <v>0</v>
      </c>
      <c r="X217" s="104">
        <f t="shared" si="2"/>
        <v>8504.2146100000009</v>
      </c>
      <c r="Y217" s="407"/>
      <c r="Z217" s="9"/>
    </row>
    <row r="218" spans="1:26" ht="24.75" customHeight="1">
      <c r="A218" s="4"/>
      <c r="B218" s="4"/>
      <c r="C218" s="4"/>
      <c r="D218" s="4"/>
      <c r="E218" s="4"/>
      <c r="F218" s="4"/>
      <c r="G218" s="4"/>
      <c r="H218" s="4"/>
      <c r="I218" s="4"/>
      <c r="J218" s="4"/>
      <c r="K218" s="4"/>
      <c r="L218" s="4"/>
      <c r="M218" s="4"/>
      <c r="N218" s="4"/>
      <c r="O218" s="4"/>
      <c r="P218" s="4"/>
      <c r="Q218" s="4"/>
      <c r="R218" s="4"/>
      <c r="S218" s="4"/>
      <c r="T218" s="4"/>
      <c r="U218" s="4"/>
      <c r="V218" s="4"/>
      <c r="W218" s="4"/>
      <c r="X218" s="3"/>
      <c r="Y218" s="2"/>
    </row>
    <row r="219" spans="1:26" ht="24.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2"/>
    </row>
    <row r="220" spans="1:26" ht="24.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2"/>
    </row>
    <row r="221" spans="1:26" ht="24.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2"/>
    </row>
    <row r="222" spans="1:26" ht="24.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2"/>
    </row>
    <row r="223" spans="1:26" ht="24.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2"/>
    </row>
    <row r="224" spans="1:26" ht="24.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2"/>
    </row>
    <row r="225" spans="1:25" ht="24.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2"/>
    </row>
    <row r="226" spans="1:25" ht="24.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2"/>
    </row>
    <row r="227" spans="1:25" ht="24.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2"/>
    </row>
    <row r="228" spans="1:25" ht="24.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2"/>
    </row>
    <row r="229" spans="1:25" ht="24.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2"/>
    </row>
    <row r="230" spans="1:25" ht="24.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2"/>
    </row>
    <row r="231" spans="1:25" ht="24.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2"/>
    </row>
    <row r="232" spans="1:25" ht="24.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2"/>
    </row>
    <row r="233" spans="1:25" ht="24.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2"/>
    </row>
    <row r="234" spans="1:25" ht="24.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2"/>
    </row>
    <row r="235" spans="1:25" ht="24.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2"/>
    </row>
    <row r="236" spans="1:25" ht="24.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2"/>
    </row>
    <row r="237" spans="1:25" ht="24.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2"/>
    </row>
    <row r="238" spans="1:25" ht="24.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2"/>
    </row>
    <row r="239" spans="1:25" ht="24.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2"/>
    </row>
    <row r="240" spans="1:25" ht="24.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2"/>
    </row>
    <row r="241" spans="1:25" ht="24.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2"/>
    </row>
    <row r="242" spans="1:25" ht="24.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2"/>
    </row>
    <row r="243" spans="1:25" ht="24.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2"/>
    </row>
    <row r="244" spans="1:25" ht="24.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2"/>
    </row>
    <row r="245" spans="1:25" ht="24.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2"/>
    </row>
    <row r="246" spans="1:25" ht="24.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2"/>
    </row>
    <row r="247" spans="1:25" ht="24.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2"/>
    </row>
    <row r="248" spans="1:25" ht="24.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2"/>
    </row>
    <row r="249" spans="1:25" ht="24.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2"/>
    </row>
    <row r="250" spans="1:25" ht="24.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2"/>
    </row>
    <row r="251" spans="1:25" ht="24.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2"/>
    </row>
    <row r="252" spans="1:25" ht="24.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2"/>
    </row>
    <row r="253" spans="1:25" ht="24.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2"/>
    </row>
    <row r="254" spans="1:25" ht="24.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2"/>
    </row>
    <row r="255" spans="1:25" ht="24.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2"/>
    </row>
    <row r="256" spans="1:25" ht="24.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2"/>
    </row>
    <row r="257" spans="1:25" ht="24.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2"/>
    </row>
    <row r="258" spans="1:25" ht="24.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2"/>
    </row>
    <row r="259" spans="1:25" ht="24.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2"/>
    </row>
    <row r="260" spans="1:25" ht="24.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2"/>
    </row>
    <row r="261" spans="1:25" ht="24.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2"/>
    </row>
    <row r="262" spans="1:25" ht="24.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2"/>
    </row>
    <row r="263" spans="1:25" ht="24.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2"/>
    </row>
    <row r="264" spans="1:25" ht="24.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2"/>
    </row>
    <row r="265" spans="1:25" ht="24.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2"/>
    </row>
    <row r="266" spans="1:25" ht="24.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2"/>
    </row>
    <row r="267" spans="1:25" ht="24.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2"/>
    </row>
    <row r="268" spans="1:25" ht="24.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2"/>
    </row>
    <row r="269" spans="1:25" ht="24.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2"/>
    </row>
    <row r="270" spans="1:25" ht="24.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2"/>
    </row>
    <row r="271" spans="1:25" ht="24.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2"/>
    </row>
    <row r="272" spans="1:25" ht="24.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2"/>
    </row>
    <row r="273" spans="1:25" ht="24.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2"/>
    </row>
    <row r="274" spans="1:25" ht="24.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2"/>
    </row>
    <row r="275" spans="1:25" ht="24.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2"/>
    </row>
    <row r="276" spans="1:25" ht="24.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2"/>
    </row>
    <row r="277" spans="1:25" ht="24.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2"/>
    </row>
    <row r="278" spans="1:25" ht="24.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2"/>
    </row>
    <row r="279" spans="1:25" ht="24.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2"/>
    </row>
    <row r="280" spans="1:25" ht="24.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2"/>
    </row>
    <row r="281" spans="1:25" ht="24.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2"/>
    </row>
    <row r="282" spans="1:25" ht="24.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2"/>
    </row>
    <row r="283" spans="1:25" ht="24.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2"/>
    </row>
    <row r="284" spans="1:25" ht="24.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2"/>
    </row>
    <row r="285" spans="1:25" ht="24.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2"/>
    </row>
    <row r="286" spans="1:25" ht="24.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2"/>
    </row>
    <row r="287" spans="1:25" ht="24.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2"/>
    </row>
    <row r="288" spans="1:25" ht="24.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2"/>
    </row>
    <row r="289" spans="1:25" ht="24.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2"/>
    </row>
    <row r="290" spans="1:25" ht="24.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2"/>
    </row>
    <row r="291" spans="1:25" ht="24.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2"/>
    </row>
    <row r="292" spans="1:25" ht="24.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2"/>
    </row>
    <row r="293" spans="1:25" ht="24.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2"/>
    </row>
    <row r="294" spans="1:25" ht="24.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2"/>
    </row>
    <row r="295" spans="1:25" ht="24.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2"/>
    </row>
    <row r="296" spans="1:25" ht="24.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2"/>
    </row>
    <row r="297" spans="1:25" ht="24.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2"/>
    </row>
    <row r="298" spans="1:25" ht="24.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2"/>
    </row>
    <row r="299" spans="1:25" ht="24.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2"/>
    </row>
    <row r="300" spans="1:25" ht="24.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2"/>
    </row>
    <row r="301" spans="1:25" ht="24.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2"/>
    </row>
    <row r="302" spans="1:25" ht="24.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2"/>
    </row>
    <row r="303" spans="1:25" ht="24.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2"/>
    </row>
    <row r="304" spans="1:25" ht="24.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2"/>
    </row>
    <row r="305" spans="1:25" ht="24.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2"/>
    </row>
    <row r="306" spans="1:25" ht="24.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2"/>
    </row>
    <row r="307" spans="1:25" ht="24.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2"/>
    </row>
    <row r="308" spans="1:25" ht="24.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2"/>
    </row>
    <row r="309" spans="1:25" ht="24.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2"/>
    </row>
    <row r="310" spans="1:25" ht="24.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2"/>
    </row>
    <row r="311" spans="1:25" ht="24.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2"/>
    </row>
    <row r="312" spans="1:25" ht="24.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2"/>
    </row>
    <row r="313" spans="1:25" ht="24.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2"/>
    </row>
    <row r="314" spans="1:25" ht="24.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2"/>
    </row>
    <row r="315" spans="1:25" ht="24.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2"/>
    </row>
    <row r="316" spans="1:25" ht="24.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2"/>
    </row>
    <row r="317" spans="1:25" ht="24.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2"/>
    </row>
    <row r="318" spans="1:25" ht="24.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2"/>
    </row>
    <row r="319" spans="1:25" ht="24.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2"/>
    </row>
    <row r="320" spans="1:25" ht="24.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2"/>
    </row>
    <row r="321" spans="1:25" ht="24.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2"/>
    </row>
    <row r="322" spans="1:25" ht="24.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2"/>
    </row>
    <row r="323" spans="1:25" ht="24.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2"/>
    </row>
    <row r="324" spans="1:25" ht="24.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2"/>
    </row>
    <row r="325" spans="1:25" ht="24.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2"/>
    </row>
    <row r="326" spans="1:25" ht="24.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2"/>
    </row>
    <row r="327" spans="1:25" ht="24.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2"/>
    </row>
    <row r="328" spans="1:25" ht="24.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2"/>
    </row>
    <row r="329" spans="1:25" ht="24.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2"/>
    </row>
    <row r="330" spans="1:25" ht="24.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2"/>
    </row>
    <row r="331" spans="1:25" ht="24.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2"/>
    </row>
    <row r="332" spans="1:25" ht="24.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2"/>
    </row>
    <row r="333" spans="1:25" ht="24.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2"/>
    </row>
    <row r="334" spans="1:25" ht="24.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2"/>
    </row>
    <row r="335" spans="1:25" ht="24.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2"/>
    </row>
    <row r="336" spans="1:25" ht="24.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2"/>
    </row>
    <row r="337" spans="1:25" ht="24.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2"/>
    </row>
    <row r="338" spans="1:25" ht="24.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2"/>
    </row>
    <row r="339" spans="1:25" ht="24.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2"/>
    </row>
    <row r="340" spans="1:25" ht="24.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2"/>
    </row>
    <row r="341" spans="1:25" ht="24.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2"/>
    </row>
    <row r="342" spans="1:25" ht="24.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2"/>
    </row>
    <row r="343" spans="1:25" ht="24.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2"/>
    </row>
    <row r="344" spans="1:25" ht="24.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2"/>
    </row>
    <row r="345" spans="1:25" ht="24.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2"/>
    </row>
    <row r="346" spans="1:25" ht="24.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2"/>
    </row>
    <row r="347" spans="1:25" ht="24.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2"/>
    </row>
    <row r="348" spans="1:25" ht="24.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2"/>
    </row>
    <row r="349" spans="1:25" ht="24.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2"/>
    </row>
    <row r="350" spans="1:25" ht="24.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2"/>
    </row>
    <row r="351" spans="1:25" ht="24.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2"/>
    </row>
    <row r="352" spans="1:25" ht="24.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2"/>
    </row>
    <row r="353" spans="1:25" ht="24.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2"/>
    </row>
    <row r="354" spans="1:25" ht="24.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2"/>
    </row>
    <row r="355" spans="1:25" ht="24.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2"/>
    </row>
    <row r="356" spans="1:25" ht="24.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2"/>
    </row>
    <row r="357" spans="1:25" ht="24.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2"/>
    </row>
    <row r="358" spans="1:25" ht="24.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2"/>
    </row>
    <row r="359" spans="1:25" ht="24.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2"/>
    </row>
    <row r="360" spans="1:25" ht="24.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2"/>
    </row>
    <row r="361" spans="1:25" ht="24.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2"/>
    </row>
    <row r="362" spans="1:25" ht="24.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2"/>
    </row>
    <row r="363" spans="1:25" ht="24.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2"/>
    </row>
    <row r="364" spans="1:25" ht="24.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2"/>
    </row>
    <row r="365" spans="1:25" ht="24.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2"/>
    </row>
    <row r="366" spans="1:25" ht="24.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2"/>
    </row>
    <row r="367" spans="1:25" ht="24.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2"/>
    </row>
    <row r="368" spans="1:25" ht="24.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2"/>
    </row>
    <row r="369" spans="1:25" ht="24.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2"/>
    </row>
    <row r="370" spans="1:25" ht="24.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2"/>
    </row>
    <row r="371" spans="1:25" ht="24.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2"/>
    </row>
    <row r="372" spans="1:25" ht="24.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2"/>
    </row>
    <row r="373" spans="1:25" ht="24.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2"/>
    </row>
    <row r="374" spans="1:25" ht="24.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2"/>
    </row>
    <row r="375" spans="1:25" ht="24.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2"/>
    </row>
    <row r="376" spans="1:25" ht="24.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2"/>
    </row>
    <row r="377" spans="1:25" ht="24.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2"/>
    </row>
    <row r="378" spans="1:25" ht="24.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2"/>
    </row>
    <row r="379" spans="1:25" ht="24.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2"/>
    </row>
    <row r="380" spans="1:25" ht="24.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2"/>
    </row>
    <row r="381" spans="1:25" ht="24.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2"/>
    </row>
    <row r="382" spans="1:25" ht="24.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2"/>
    </row>
    <row r="383" spans="1:25" ht="24.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2"/>
    </row>
    <row r="384" spans="1:25"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2"/>
    </row>
    <row r="385" spans="1:2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2"/>
    </row>
    <row r="386" spans="1:25"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2"/>
    </row>
    <row r="387" spans="1:25"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2"/>
    </row>
    <row r="388" spans="1:25"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2"/>
    </row>
    <row r="389" spans="1:25"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2"/>
    </row>
    <row r="390" spans="1:25"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2"/>
    </row>
    <row r="391" spans="1:25"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2"/>
    </row>
    <row r="392" spans="1:25"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2"/>
    </row>
    <row r="393" spans="1:25"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2"/>
    </row>
    <row r="394" spans="1:25"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2"/>
    </row>
    <row r="395" spans="1:2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2"/>
    </row>
    <row r="396" spans="1:25"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2"/>
    </row>
    <row r="397" spans="1:25"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2"/>
    </row>
    <row r="398" spans="1:25"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2"/>
    </row>
    <row r="399" spans="1:25"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2"/>
    </row>
    <row r="400" spans="1:25"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2"/>
    </row>
    <row r="401" spans="1:25"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2"/>
    </row>
    <row r="402" spans="1:25"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2"/>
    </row>
    <row r="403" spans="1:25"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2"/>
    </row>
    <row r="404" spans="1:25"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2"/>
    </row>
    <row r="405" spans="1:2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2"/>
    </row>
    <row r="406" spans="1:25"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2"/>
    </row>
    <row r="407" spans="1:25"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2"/>
    </row>
    <row r="408" spans="1:25"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2"/>
    </row>
    <row r="409" spans="1:25"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2"/>
    </row>
    <row r="410" spans="1:25"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2"/>
    </row>
    <row r="411" spans="1:25"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2"/>
    </row>
    <row r="412" spans="1:25"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2"/>
    </row>
    <row r="413" spans="1:25"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2"/>
    </row>
    <row r="414" spans="1:25"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2"/>
    </row>
    <row r="415" spans="1:2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2"/>
    </row>
    <row r="416" spans="1:25"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2"/>
    </row>
    <row r="417" spans="1:25"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2"/>
    </row>
    <row r="418" spans="1:25"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2"/>
    </row>
    <row r="419" spans="1:25"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2"/>
    </row>
    <row r="420" spans="1:25"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2"/>
    </row>
    <row r="421" spans="1:25"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2"/>
    </row>
    <row r="422" spans="1:25"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2"/>
    </row>
    <row r="423" spans="1:25"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2"/>
    </row>
    <row r="424" spans="1:25"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2"/>
    </row>
    <row r="425" spans="1: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2"/>
    </row>
    <row r="426" spans="1:25"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2"/>
    </row>
    <row r="427" spans="1:25"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2"/>
    </row>
    <row r="428" spans="1:25"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2"/>
    </row>
    <row r="429" spans="1:25"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2"/>
    </row>
    <row r="430" spans="1:25"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2"/>
    </row>
    <row r="431" spans="1:25"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2"/>
    </row>
    <row r="432" spans="1:25"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2"/>
    </row>
    <row r="433" spans="1:25"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2"/>
    </row>
    <row r="434" spans="1:25"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2"/>
    </row>
    <row r="435" spans="1:2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2"/>
    </row>
    <row r="436" spans="1:25"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2"/>
    </row>
    <row r="437" spans="1:25"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2"/>
    </row>
    <row r="438" spans="1:25"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2"/>
    </row>
    <row r="439" spans="1:25"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2"/>
    </row>
    <row r="440" spans="1:25"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2"/>
    </row>
    <row r="441" spans="1:25"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2"/>
    </row>
    <row r="442" spans="1:25"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2"/>
    </row>
    <row r="443" spans="1:25"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2"/>
    </row>
    <row r="444" spans="1:25"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2"/>
    </row>
    <row r="445" spans="1:2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2"/>
    </row>
    <row r="446" spans="1:25"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2"/>
    </row>
    <row r="447" spans="1:25"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2"/>
    </row>
    <row r="448" spans="1:25"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2"/>
    </row>
    <row r="449" spans="1:25"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2"/>
    </row>
    <row r="450" spans="1:25"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2"/>
    </row>
    <row r="451" spans="1:25"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2"/>
    </row>
    <row r="452" spans="1:25"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2"/>
    </row>
    <row r="453" spans="1:25"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2"/>
    </row>
    <row r="454" spans="1:25"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2"/>
    </row>
    <row r="455" spans="1:2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2"/>
    </row>
    <row r="456" spans="1:25"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2"/>
    </row>
    <row r="457" spans="1:25"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2"/>
    </row>
    <row r="458" spans="1:25"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2"/>
    </row>
    <row r="459" spans="1:25"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2"/>
    </row>
    <row r="460" spans="1:25"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2"/>
    </row>
    <row r="461" spans="1:25"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2"/>
    </row>
    <row r="462" spans="1:25"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2"/>
    </row>
    <row r="463" spans="1:25"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2"/>
    </row>
    <row r="464" spans="1:25"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2"/>
    </row>
    <row r="465" spans="1:2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2"/>
    </row>
    <row r="466" spans="1:25"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2"/>
    </row>
    <row r="467" spans="1:25"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2"/>
    </row>
    <row r="468" spans="1:25"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2"/>
    </row>
    <row r="469" spans="1:25"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2"/>
    </row>
    <row r="470" spans="1:25"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2"/>
    </row>
    <row r="471" spans="1:25"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2"/>
    </row>
    <row r="472" spans="1:25"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2"/>
    </row>
    <row r="473" spans="1:25"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2"/>
    </row>
    <row r="474" spans="1:25"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2"/>
    </row>
    <row r="475" spans="1:2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2"/>
    </row>
    <row r="476" spans="1:25"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2"/>
    </row>
    <row r="477" spans="1:25"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2"/>
    </row>
    <row r="478" spans="1:25"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2"/>
    </row>
    <row r="479" spans="1:25"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2"/>
    </row>
    <row r="480" spans="1:25"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2"/>
    </row>
    <row r="481" spans="1:25"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2"/>
    </row>
    <row r="482" spans="1:25"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2"/>
    </row>
    <row r="483" spans="1:25"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2"/>
    </row>
    <row r="484" spans="1:25"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2"/>
    </row>
    <row r="485" spans="1:2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2"/>
    </row>
    <row r="486" spans="1:25"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2"/>
    </row>
    <row r="487" spans="1:25"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2"/>
    </row>
    <row r="488" spans="1:25"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2"/>
    </row>
    <row r="489" spans="1:25"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2"/>
    </row>
    <row r="490" spans="1:25"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2"/>
    </row>
    <row r="491" spans="1:25"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2"/>
    </row>
    <row r="492" spans="1:25"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2"/>
    </row>
    <row r="493" spans="1:25"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2"/>
    </row>
    <row r="494" spans="1:25"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2"/>
    </row>
    <row r="495" spans="1:2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2"/>
    </row>
    <row r="496" spans="1:25"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2"/>
    </row>
    <row r="497" spans="1:25"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2"/>
    </row>
    <row r="498" spans="1:25"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2"/>
    </row>
    <row r="499" spans="1:25"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2"/>
    </row>
    <row r="500" spans="1:25"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2"/>
    </row>
    <row r="501" spans="1:25"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2"/>
    </row>
    <row r="502" spans="1:25"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2"/>
    </row>
    <row r="503" spans="1:25"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2"/>
    </row>
    <row r="504" spans="1:25"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2"/>
    </row>
    <row r="505" spans="1:2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2"/>
    </row>
    <row r="506" spans="1:25"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2"/>
    </row>
    <row r="507" spans="1:25"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2"/>
    </row>
    <row r="508" spans="1:25"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2"/>
    </row>
    <row r="509" spans="1:25"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2"/>
    </row>
    <row r="510" spans="1:25"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2"/>
    </row>
    <row r="511" spans="1:25"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2"/>
    </row>
    <row r="512" spans="1:25"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2"/>
    </row>
    <row r="513" spans="1:25"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2"/>
    </row>
    <row r="514" spans="1:25"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2"/>
    </row>
    <row r="515" spans="1:2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2"/>
    </row>
    <row r="516" spans="1:25"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2"/>
    </row>
    <row r="517" spans="1:25"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2"/>
    </row>
    <row r="518" spans="1:25"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2"/>
    </row>
    <row r="519" spans="1:25"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2"/>
    </row>
    <row r="520" spans="1:25"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2"/>
    </row>
    <row r="521" spans="1:25"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2"/>
    </row>
    <row r="522" spans="1:25"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2"/>
    </row>
    <row r="523" spans="1:25"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2"/>
    </row>
    <row r="524" spans="1:25"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2"/>
    </row>
    <row r="525" spans="1: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2"/>
    </row>
    <row r="526" spans="1:25"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2"/>
    </row>
    <row r="527" spans="1:25"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2"/>
    </row>
    <row r="528" spans="1:25"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2"/>
    </row>
    <row r="529" spans="1:25"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2"/>
    </row>
    <row r="530" spans="1:25"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2"/>
    </row>
    <row r="531" spans="1:25"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2"/>
    </row>
    <row r="532" spans="1:25"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2"/>
    </row>
    <row r="533" spans="1:25"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2"/>
    </row>
    <row r="534" spans="1:25"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2"/>
    </row>
    <row r="535" spans="1:2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2"/>
    </row>
    <row r="536" spans="1:25"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2"/>
    </row>
    <row r="537" spans="1:25"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2"/>
    </row>
    <row r="538" spans="1:25"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2"/>
    </row>
    <row r="539" spans="1:25"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2"/>
    </row>
    <row r="540" spans="1:25"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2"/>
    </row>
    <row r="541" spans="1:25"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2"/>
    </row>
    <row r="542" spans="1:25"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2"/>
    </row>
    <row r="543" spans="1:25"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2"/>
    </row>
    <row r="544" spans="1:25"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2"/>
    </row>
    <row r="545" spans="1:2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2"/>
    </row>
    <row r="546" spans="1:25"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2"/>
    </row>
    <row r="547" spans="1:25"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2"/>
    </row>
    <row r="548" spans="1:25"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2"/>
    </row>
    <row r="549" spans="1:25"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2"/>
    </row>
    <row r="550" spans="1:25"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2"/>
    </row>
    <row r="551" spans="1:25"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2"/>
    </row>
    <row r="552" spans="1:25"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2"/>
    </row>
    <row r="553" spans="1:25"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2"/>
    </row>
    <row r="554" spans="1:25"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2"/>
    </row>
    <row r="555" spans="1:2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2"/>
    </row>
    <row r="556" spans="1:25"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2"/>
    </row>
    <row r="557" spans="1:25"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2"/>
    </row>
    <row r="558" spans="1:25"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2"/>
    </row>
    <row r="559" spans="1:25"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2"/>
    </row>
    <row r="560" spans="1:25"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2"/>
    </row>
    <row r="561" spans="1:25"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2"/>
    </row>
    <row r="562" spans="1:25"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2"/>
    </row>
    <row r="563" spans="1:25"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2"/>
    </row>
    <row r="564" spans="1:25"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2"/>
    </row>
    <row r="565" spans="1:2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2"/>
    </row>
    <row r="566" spans="1:25"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2"/>
    </row>
    <row r="567" spans="1:25"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2"/>
    </row>
    <row r="568" spans="1:25"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2"/>
    </row>
    <row r="569" spans="1:25"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2"/>
    </row>
    <row r="570" spans="1:25"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2"/>
    </row>
    <row r="571" spans="1:25"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2"/>
    </row>
    <row r="572" spans="1:25"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2"/>
    </row>
    <row r="573" spans="1:25"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2"/>
    </row>
    <row r="574" spans="1:25"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2"/>
    </row>
    <row r="575" spans="1:2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2"/>
    </row>
    <row r="576" spans="1:25"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2"/>
    </row>
    <row r="577" spans="1:25"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2"/>
    </row>
    <row r="578" spans="1:25"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2"/>
    </row>
    <row r="579" spans="1:25"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2"/>
    </row>
    <row r="580" spans="1:25"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2"/>
    </row>
    <row r="581" spans="1:25"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2"/>
    </row>
    <row r="582" spans="1:25"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2"/>
    </row>
    <row r="583" spans="1:25"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2"/>
    </row>
    <row r="584" spans="1:25"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2"/>
    </row>
    <row r="585" spans="1:2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2"/>
    </row>
    <row r="586" spans="1:25"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2"/>
    </row>
    <row r="587" spans="1:25"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2"/>
    </row>
    <row r="588" spans="1:25"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2"/>
    </row>
    <row r="589" spans="1:25"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2"/>
    </row>
    <row r="590" spans="1:25"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2"/>
    </row>
    <row r="591" spans="1:25"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2"/>
    </row>
    <row r="592" spans="1:25"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2"/>
    </row>
    <row r="593" spans="1:25"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2"/>
    </row>
    <row r="594" spans="1:25"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2"/>
    </row>
    <row r="595" spans="1:2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2"/>
    </row>
    <row r="596" spans="1:25"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2"/>
    </row>
    <row r="597" spans="1:25"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2"/>
    </row>
    <row r="598" spans="1:25"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2"/>
    </row>
    <row r="599" spans="1:25"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2"/>
    </row>
    <row r="600" spans="1:25"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2"/>
    </row>
    <row r="601" spans="1:25"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2"/>
    </row>
    <row r="602" spans="1:25"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2"/>
    </row>
    <row r="603" spans="1:25"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2"/>
    </row>
    <row r="604" spans="1:25"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2"/>
    </row>
    <row r="605" spans="1:2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2"/>
    </row>
    <row r="606" spans="1:25"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2"/>
    </row>
    <row r="607" spans="1:25"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2"/>
    </row>
    <row r="608" spans="1:25"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2"/>
    </row>
    <row r="609" spans="1:25"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2"/>
    </row>
    <row r="610" spans="1:25"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2"/>
    </row>
    <row r="611" spans="1:25"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2"/>
    </row>
    <row r="612" spans="1:25"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2"/>
    </row>
    <row r="613" spans="1:25"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2"/>
    </row>
    <row r="614" spans="1:25"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2"/>
    </row>
    <row r="615" spans="1:2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2"/>
    </row>
    <row r="616" spans="1:25"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2"/>
    </row>
    <row r="617" spans="1:25"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2"/>
    </row>
    <row r="618" spans="1:25"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2"/>
    </row>
    <row r="619" spans="1:25"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2"/>
    </row>
    <row r="620" spans="1:25"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2"/>
    </row>
    <row r="621" spans="1:25"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2"/>
    </row>
    <row r="622" spans="1:25"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2"/>
    </row>
    <row r="623" spans="1:25"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2"/>
    </row>
    <row r="624" spans="1:25"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2"/>
    </row>
    <row r="625" spans="1: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2"/>
    </row>
    <row r="626" spans="1:25"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2"/>
    </row>
    <row r="627" spans="1:25"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2"/>
    </row>
    <row r="628" spans="1:25"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2"/>
    </row>
    <row r="629" spans="1:25"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2"/>
    </row>
    <row r="630" spans="1:25"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2"/>
    </row>
    <row r="631" spans="1:25"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2"/>
    </row>
    <row r="632" spans="1:25"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2"/>
    </row>
    <row r="633" spans="1:25"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2"/>
    </row>
    <row r="634" spans="1:25"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2"/>
    </row>
    <row r="635" spans="1:2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2"/>
    </row>
    <row r="636" spans="1:25"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2"/>
    </row>
    <row r="637" spans="1:25"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2"/>
    </row>
    <row r="638" spans="1:25"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2"/>
    </row>
    <row r="639" spans="1:25"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2"/>
    </row>
    <row r="640" spans="1:25"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2"/>
    </row>
    <row r="641" spans="1:25"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2"/>
    </row>
    <row r="642" spans="1:25"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2"/>
    </row>
    <row r="643" spans="1:25"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2"/>
    </row>
    <row r="644" spans="1:25"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2"/>
    </row>
    <row r="645" spans="1:2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2"/>
    </row>
    <row r="646" spans="1:25"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2"/>
    </row>
    <row r="647" spans="1:25"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2"/>
    </row>
    <row r="648" spans="1:25"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2"/>
    </row>
    <row r="649" spans="1:25"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2"/>
    </row>
    <row r="650" spans="1:25"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2"/>
    </row>
    <row r="651" spans="1:25"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2"/>
    </row>
    <row r="652" spans="1:25"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2"/>
    </row>
    <row r="653" spans="1:25"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2"/>
    </row>
    <row r="654" spans="1:25"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2"/>
    </row>
    <row r="655" spans="1:2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2"/>
    </row>
    <row r="656" spans="1:25"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2"/>
    </row>
    <row r="657" spans="1:25"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2"/>
    </row>
    <row r="658" spans="1:25"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2"/>
    </row>
    <row r="659" spans="1:25"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2"/>
    </row>
    <row r="660" spans="1:25"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2"/>
    </row>
    <row r="661" spans="1:25"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2"/>
    </row>
    <row r="662" spans="1:25"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2"/>
    </row>
    <row r="663" spans="1:25"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2"/>
    </row>
    <row r="664" spans="1:25"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2"/>
    </row>
    <row r="665" spans="1:2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2"/>
    </row>
    <row r="666" spans="1:25"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2"/>
    </row>
    <row r="667" spans="1:25"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2"/>
    </row>
    <row r="668" spans="1:25"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2"/>
    </row>
    <row r="669" spans="1:25"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2"/>
    </row>
    <row r="670" spans="1:25"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2"/>
    </row>
    <row r="671" spans="1:25"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2"/>
    </row>
    <row r="672" spans="1:25"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2"/>
    </row>
    <row r="673" spans="1:25"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2"/>
    </row>
    <row r="674" spans="1:25"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2"/>
    </row>
    <row r="675" spans="1:2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2"/>
    </row>
    <row r="676" spans="1:25"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2"/>
    </row>
    <row r="677" spans="1:25"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2"/>
    </row>
    <row r="678" spans="1:25"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2"/>
    </row>
    <row r="679" spans="1:25"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2"/>
    </row>
    <row r="680" spans="1:25"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2"/>
    </row>
    <row r="681" spans="1:25"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2"/>
    </row>
    <row r="682" spans="1:25"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2"/>
    </row>
    <row r="683" spans="1:25"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2"/>
    </row>
    <row r="684" spans="1:25"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2"/>
    </row>
    <row r="685" spans="1:2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2"/>
    </row>
    <row r="686" spans="1:25"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2"/>
    </row>
    <row r="687" spans="1:25"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2"/>
    </row>
    <row r="688" spans="1:25"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2"/>
    </row>
    <row r="689" spans="1:25"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2"/>
    </row>
    <row r="690" spans="1:25"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2"/>
    </row>
    <row r="691" spans="1:25"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2"/>
    </row>
    <row r="692" spans="1:25"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2"/>
    </row>
    <row r="693" spans="1:25"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2"/>
    </row>
    <row r="694" spans="1:25"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2"/>
    </row>
    <row r="695" spans="1:2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2"/>
    </row>
    <row r="696" spans="1:25"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2"/>
    </row>
    <row r="697" spans="1:25"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2"/>
    </row>
    <row r="698" spans="1:25"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2"/>
    </row>
    <row r="699" spans="1:25"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2"/>
    </row>
    <row r="700" spans="1:25"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2"/>
    </row>
    <row r="701" spans="1:25"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2"/>
    </row>
    <row r="702" spans="1:25"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2"/>
    </row>
    <row r="703" spans="1:25"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2"/>
    </row>
    <row r="704" spans="1:25"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2"/>
    </row>
    <row r="705" spans="1:2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2"/>
    </row>
    <row r="706" spans="1:25"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2"/>
    </row>
    <row r="707" spans="1:25"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2"/>
    </row>
    <row r="708" spans="1:25"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2"/>
    </row>
    <row r="709" spans="1:25"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2"/>
    </row>
    <row r="710" spans="1:25"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2"/>
    </row>
    <row r="711" spans="1:25"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2"/>
    </row>
    <row r="712" spans="1:25"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2"/>
    </row>
    <row r="713" spans="1:25"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2"/>
    </row>
    <row r="714" spans="1:25"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2"/>
    </row>
    <row r="715" spans="1:2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2"/>
    </row>
    <row r="716" spans="1:25"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2"/>
    </row>
    <row r="717" spans="1:25"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2"/>
    </row>
    <row r="718" spans="1:25"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2"/>
    </row>
    <row r="719" spans="1:25"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2"/>
    </row>
    <row r="720" spans="1:25"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2"/>
    </row>
    <row r="721" spans="1:25"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2"/>
    </row>
    <row r="722" spans="1:25"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2"/>
    </row>
    <row r="723" spans="1:25"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2"/>
    </row>
    <row r="724" spans="1:25"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2"/>
    </row>
    <row r="725" spans="1: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2"/>
    </row>
    <row r="726" spans="1:25"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2"/>
    </row>
    <row r="727" spans="1:25"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2"/>
    </row>
    <row r="728" spans="1:25"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2"/>
    </row>
    <row r="729" spans="1:25"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2"/>
    </row>
    <row r="730" spans="1:25"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2"/>
    </row>
    <row r="731" spans="1:25"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2"/>
    </row>
    <row r="732" spans="1:25"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2"/>
    </row>
    <row r="733" spans="1:25"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2"/>
    </row>
    <row r="734" spans="1:25"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2"/>
    </row>
    <row r="735" spans="1:2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2"/>
    </row>
    <row r="736" spans="1:25"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2"/>
    </row>
    <row r="737" spans="1:25"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2"/>
    </row>
    <row r="738" spans="1:25"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2"/>
    </row>
    <row r="739" spans="1:25"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2"/>
    </row>
    <row r="740" spans="1:25"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2"/>
    </row>
    <row r="741" spans="1:25"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2"/>
    </row>
    <row r="742" spans="1:25"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2"/>
    </row>
    <row r="743" spans="1:25"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2"/>
    </row>
    <row r="744" spans="1:25"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2"/>
    </row>
    <row r="745" spans="1:2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2"/>
    </row>
    <row r="746" spans="1:25"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2"/>
    </row>
    <row r="747" spans="1:25"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2"/>
    </row>
    <row r="748" spans="1:25"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2"/>
    </row>
    <row r="749" spans="1:25"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2"/>
    </row>
    <row r="750" spans="1:25"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2"/>
    </row>
    <row r="751" spans="1:25"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2"/>
    </row>
    <row r="752" spans="1:25"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2"/>
    </row>
    <row r="753" spans="1:25"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2"/>
    </row>
    <row r="754" spans="1:25"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2"/>
    </row>
    <row r="755" spans="1:2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2"/>
    </row>
    <row r="756" spans="1:25"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2"/>
    </row>
    <row r="757" spans="1:25"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2"/>
    </row>
    <row r="758" spans="1:25"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2"/>
    </row>
    <row r="759" spans="1:25"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2"/>
    </row>
    <row r="760" spans="1:25"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2"/>
    </row>
    <row r="761" spans="1:25"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2"/>
    </row>
    <row r="762" spans="1:25"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2"/>
    </row>
    <row r="763" spans="1:25"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2"/>
    </row>
    <row r="764" spans="1:25"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2"/>
    </row>
    <row r="765" spans="1:2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2"/>
    </row>
    <row r="766" spans="1:25"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2"/>
    </row>
    <row r="767" spans="1:25"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2"/>
    </row>
    <row r="768" spans="1:25"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2"/>
    </row>
    <row r="769" spans="1:25"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2"/>
    </row>
    <row r="770" spans="1:25"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2"/>
    </row>
    <row r="771" spans="1:25"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2"/>
    </row>
    <row r="772" spans="1:25"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2"/>
    </row>
    <row r="773" spans="1:25"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2"/>
    </row>
    <row r="774" spans="1:25"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2"/>
    </row>
    <row r="775" spans="1:2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2"/>
    </row>
    <row r="776" spans="1:25"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2"/>
    </row>
    <row r="777" spans="1:25"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2"/>
    </row>
    <row r="778" spans="1:25"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2"/>
    </row>
    <row r="779" spans="1:25"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2"/>
    </row>
    <row r="780" spans="1:25"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2"/>
    </row>
    <row r="781" spans="1:25"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2"/>
    </row>
    <row r="782" spans="1:25"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2"/>
    </row>
    <row r="783" spans="1:25"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2"/>
    </row>
    <row r="784" spans="1:25"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2"/>
    </row>
    <row r="785" spans="1:2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2"/>
    </row>
    <row r="786" spans="1:25"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2"/>
    </row>
    <row r="787" spans="1:25"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2"/>
    </row>
    <row r="788" spans="1:25"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2"/>
    </row>
    <row r="789" spans="1:25"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2"/>
    </row>
    <row r="790" spans="1:25"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2"/>
    </row>
    <row r="791" spans="1:25"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2"/>
    </row>
    <row r="792" spans="1:25"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2"/>
    </row>
    <row r="793" spans="1:25"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2"/>
    </row>
    <row r="794" spans="1:25"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2"/>
    </row>
    <row r="795" spans="1:2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2"/>
    </row>
    <row r="796" spans="1:25"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2"/>
    </row>
    <row r="797" spans="1:25"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2"/>
    </row>
    <row r="798" spans="1:25"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2"/>
    </row>
    <row r="799" spans="1:25"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2"/>
    </row>
    <row r="800" spans="1:25"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2"/>
    </row>
    <row r="801" spans="1:25"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2"/>
    </row>
    <row r="802" spans="1:25"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2"/>
    </row>
    <row r="803" spans="1:25"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2"/>
    </row>
    <row r="804" spans="1:25"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2"/>
    </row>
    <row r="805" spans="1:2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2"/>
    </row>
    <row r="806" spans="1:25"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2"/>
    </row>
    <row r="807" spans="1:25"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2"/>
    </row>
    <row r="808" spans="1:25"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2"/>
    </row>
    <row r="809" spans="1:25"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2"/>
    </row>
    <row r="810" spans="1:25"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2"/>
    </row>
    <row r="811" spans="1:25"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2"/>
    </row>
    <row r="812" spans="1:25"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2"/>
    </row>
    <row r="813" spans="1:25"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2"/>
    </row>
    <row r="814" spans="1:25"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2"/>
    </row>
    <row r="815" spans="1:2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2"/>
    </row>
    <row r="816" spans="1:25"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2"/>
    </row>
    <row r="817" spans="1:25"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2"/>
    </row>
    <row r="818" spans="1:25"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2"/>
    </row>
    <row r="819" spans="1:25"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2"/>
    </row>
    <row r="820" spans="1:25"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2"/>
    </row>
    <row r="821" spans="1:25"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2"/>
    </row>
    <row r="822" spans="1:25"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2"/>
    </row>
    <row r="823" spans="1:25"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2"/>
    </row>
    <row r="824" spans="1:25"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2"/>
    </row>
    <row r="825" spans="1: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2"/>
    </row>
    <row r="826" spans="1:25"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2"/>
    </row>
    <row r="827" spans="1:25"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2"/>
    </row>
    <row r="828" spans="1:25"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2"/>
    </row>
    <row r="829" spans="1:25"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2"/>
    </row>
    <row r="830" spans="1:25"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2"/>
    </row>
    <row r="831" spans="1:25"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2"/>
    </row>
    <row r="832" spans="1:25"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2"/>
    </row>
    <row r="833" spans="1:25"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2"/>
    </row>
    <row r="834" spans="1:25"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2"/>
    </row>
    <row r="835" spans="1:2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2"/>
    </row>
    <row r="836" spans="1:25"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2"/>
    </row>
    <row r="837" spans="1:25"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2"/>
    </row>
    <row r="838" spans="1:25"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2"/>
    </row>
    <row r="839" spans="1:25"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2"/>
    </row>
    <row r="840" spans="1:25"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2"/>
    </row>
    <row r="841" spans="1:25"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2"/>
    </row>
    <row r="842" spans="1:25"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2"/>
    </row>
    <row r="843" spans="1:25"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2"/>
    </row>
    <row r="844" spans="1:25"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2"/>
    </row>
    <row r="845" spans="1:2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2"/>
    </row>
    <row r="846" spans="1:25"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2"/>
    </row>
    <row r="847" spans="1:25"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2"/>
    </row>
    <row r="848" spans="1:25"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2"/>
    </row>
    <row r="849" spans="1:25"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2"/>
    </row>
    <row r="850" spans="1:25"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2"/>
    </row>
    <row r="851" spans="1:25"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2"/>
    </row>
    <row r="852" spans="1:25"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2"/>
    </row>
    <row r="853" spans="1:25"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2"/>
    </row>
    <row r="854" spans="1:25"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2"/>
    </row>
    <row r="855" spans="1:2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2"/>
    </row>
    <row r="856" spans="1:25"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2"/>
    </row>
    <row r="857" spans="1:25"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2"/>
    </row>
    <row r="858" spans="1:25"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2"/>
    </row>
    <row r="859" spans="1:25"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2"/>
    </row>
    <row r="860" spans="1:25"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2"/>
    </row>
    <row r="861" spans="1:25"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2"/>
    </row>
    <row r="862" spans="1:25"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2"/>
    </row>
    <row r="863" spans="1:25"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2"/>
    </row>
    <row r="864" spans="1:25"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2"/>
    </row>
    <row r="865" spans="1:2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2"/>
    </row>
    <row r="866" spans="1:25"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2"/>
    </row>
    <row r="867" spans="1:25"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2"/>
    </row>
    <row r="868" spans="1:25"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2"/>
    </row>
    <row r="869" spans="1:25"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2"/>
    </row>
    <row r="870" spans="1:25"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2"/>
    </row>
    <row r="871" spans="1:25"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2"/>
    </row>
    <row r="872" spans="1:25"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2"/>
    </row>
    <row r="873" spans="1:25"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2"/>
    </row>
    <row r="874" spans="1:25"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2"/>
    </row>
    <row r="875" spans="1:2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2"/>
    </row>
    <row r="876" spans="1:25"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2"/>
    </row>
    <row r="877" spans="1:25"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2"/>
    </row>
    <row r="878" spans="1:25"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2"/>
    </row>
    <row r="879" spans="1:25"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2"/>
    </row>
    <row r="880" spans="1:25"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2"/>
    </row>
    <row r="881" spans="1:25"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2"/>
    </row>
    <row r="882" spans="1:25"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2"/>
    </row>
    <row r="883" spans="1:25"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2"/>
    </row>
    <row r="884" spans="1:25"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2"/>
    </row>
    <row r="885" spans="1:2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2"/>
    </row>
    <row r="886" spans="1:25"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2"/>
    </row>
    <row r="887" spans="1:25"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2"/>
    </row>
    <row r="888" spans="1:25"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2"/>
    </row>
    <row r="889" spans="1:25"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2"/>
    </row>
    <row r="890" spans="1:25"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2"/>
    </row>
    <row r="891" spans="1:25"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2"/>
    </row>
    <row r="892" spans="1:25"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2"/>
    </row>
    <row r="893" spans="1:25"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2"/>
    </row>
    <row r="894" spans="1:25"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2"/>
    </row>
    <row r="895" spans="1:2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2"/>
    </row>
    <row r="896" spans="1:25"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2"/>
    </row>
    <row r="897" spans="1:25"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2"/>
    </row>
    <row r="898" spans="1:25"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2"/>
    </row>
    <row r="899" spans="1:25"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2"/>
    </row>
    <row r="900" spans="1:25"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2"/>
    </row>
    <row r="901" spans="1:25"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2"/>
    </row>
    <row r="902" spans="1:25"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2"/>
    </row>
    <row r="903" spans="1:25"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2"/>
    </row>
    <row r="904" spans="1:25"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2"/>
    </row>
    <row r="905" spans="1:2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2"/>
    </row>
    <row r="906" spans="1:25"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2"/>
    </row>
    <row r="907" spans="1:25"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2"/>
    </row>
    <row r="908" spans="1:25"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2"/>
    </row>
    <row r="909" spans="1:25"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2"/>
    </row>
    <row r="910" spans="1:25"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2"/>
    </row>
    <row r="911" spans="1:25"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2"/>
    </row>
    <row r="912" spans="1:25"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2"/>
    </row>
    <row r="913" spans="1:25"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2"/>
    </row>
    <row r="914" spans="1:25"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2"/>
    </row>
    <row r="915" spans="1:2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2"/>
    </row>
    <row r="916" spans="1:25"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2"/>
    </row>
    <row r="917" spans="1:25"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2"/>
    </row>
    <row r="918" spans="1:25"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2"/>
    </row>
    <row r="919" spans="1:25"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2"/>
    </row>
    <row r="920" spans="1:25"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2"/>
    </row>
    <row r="921" spans="1:25"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2"/>
    </row>
    <row r="922" spans="1:25"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2"/>
    </row>
    <row r="923" spans="1:25"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2"/>
    </row>
    <row r="924" spans="1:25"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2"/>
    </row>
    <row r="925" spans="1: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2"/>
    </row>
    <row r="926" spans="1:25"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2"/>
    </row>
    <row r="927" spans="1:25"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2"/>
    </row>
    <row r="928" spans="1:25"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2"/>
    </row>
    <row r="929" spans="1:25"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2"/>
    </row>
    <row r="930" spans="1:25"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2"/>
    </row>
    <row r="931" spans="1:25"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2"/>
    </row>
    <row r="932" spans="1:25"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2"/>
    </row>
    <row r="933" spans="1:25"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2"/>
    </row>
    <row r="934" spans="1:25"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2"/>
    </row>
    <row r="935" spans="1:2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2"/>
    </row>
    <row r="936" spans="1:25"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2"/>
    </row>
    <row r="937" spans="1:25"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2"/>
    </row>
    <row r="938" spans="1:25"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2"/>
    </row>
    <row r="939" spans="1:25"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2"/>
    </row>
    <row r="940" spans="1:25"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2"/>
    </row>
    <row r="941" spans="1:25"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2"/>
    </row>
    <row r="942" spans="1:25"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2"/>
    </row>
    <row r="943" spans="1:25"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2"/>
    </row>
    <row r="944" spans="1:25"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2"/>
    </row>
    <row r="945" spans="1:2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2"/>
    </row>
    <row r="946" spans="1:25"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2"/>
    </row>
    <row r="947" spans="1:25"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2"/>
    </row>
    <row r="948" spans="1:25"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2"/>
    </row>
    <row r="949" spans="1:25"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2"/>
    </row>
    <row r="950" spans="1:25"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2"/>
    </row>
    <row r="951" spans="1:25"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2"/>
    </row>
    <row r="952" spans="1:25"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2"/>
    </row>
    <row r="953" spans="1:25"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2"/>
    </row>
    <row r="954" spans="1:25"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2"/>
    </row>
    <row r="955" spans="1:2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2"/>
    </row>
    <row r="956" spans="1:25"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2"/>
    </row>
    <row r="957" spans="1:25"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2"/>
    </row>
    <row r="958" spans="1:25"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2"/>
    </row>
    <row r="959" spans="1:25"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2"/>
    </row>
    <row r="960" spans="1:25"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2"/>
    </row>
    <row r="961" spans="1:25"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2"/>
    </row>
    <row r="962" spans="1:25"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2"/>
    </row>
    <row r="963" spans="1:25"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2"/>
    </row>
    <row r="964" spans="1:25"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2"/>
    </row>
    <row r="965" spans="1:2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2"/>
    </row>
    <row r="966" spans="1:25"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2"/>
    </row>
    <row r="967" spans="1:25"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2"/>
    </row>
    <row r="968" spans="1:25"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2"/>
    </row>
    <row r="969" spans="1:25"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2"/>
    </row>
    <row r="970" spans="1:25"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2"/>
    </row>
    <row r="971" spans="1:25"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2"/>
    </row>
    <row r="972" spans="1:25"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2"/>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12.xml><?xml version="1.0" encoding="utf-8"?>
<worksheet xmlns="http://schemas.openxmlformats.org/spreadsheetml/2006/main" xmlns:r="http://schemas.openxmlformats.org/officeDocument/2006/relationships">
  <sheetPr>
    <outlinePr summaryBelow="0" summaryRight="0"/>
  </sheetPr>
  <dimension ref="A1:Z1000"/>
  <sheetViews>
    <sheetView workbookViewId="0">
      <pane ySplit="5" topLeftCell="A203" activePane="bottomLeft" state="frozen"/>
      <selection pane="bottomLeft" activeCell="Y203" sqref="Y203"/>
    </sheetView>
  </sheetViews>
  <sheetFormatPr defaultColWidth="14.42578125" defaultRowHeight="15" customHeight="1"/>
  <cols>
    <col min="1" max="1" width="5.140625" style="111" customWidth="1"/>
    <col min="2" max="2" width="7" style="111" customWidth="1"/>
    <col min="3" max="3" width="8" style="111" customWidth="1"/>
    <col min="4" max="4" width="6.85546875" style="111" customWidth="1"/>
    <col min="5" max="5" width="17.5703125" style="111" customWidth="1"/>
    <col min="6" max="6" width="8.42578125" style="111" customWidth="1"/>
    <col min="7" max="7" width="4.7109375" style="111" hidden="1" customWidth="1"/>
    <col min="8" max="8" width="7.7109375" style="111" customWidth="1"/>
    <col min="9" max="9" width="6.28515625" style="111" customWidth="1"/>
    <col min="10" max="10" width="8.28515625" style="111" customWidth="1"/>
    <col min="11" max="11" width="5.85546875" style="111" hidden="1" customWidth="1"/>
    <col min="12" max="12" width="7.5703125" style="111" customWidth="1"/>
    <col min="13" max="13" width="8.5703125" style="111" hidden="1" customWidth="1"/>
    <col min="14" max="14" width="8.5703125" style="111" customWidth="1"/>
    <col min="15" max="15" width="8" style="111" customWidth="1"/>
    <col min="16" max="16" width="6.7109375" style="111" customWidth="1"/>
    <col min="17" max="17" width="11.85546875" style="111" hidden="1" customWidth="1"/>
    <col min="18" max="18" width="5.85546875" style="111" customWidth="1"/>
    <col min="19" max="19" width="18.5703125" style="111" hidden="1" customWidth="1"/>
    <col min="20" max="20" width="11.42578125" style="111" customWidth="1"/>
    <col min="21" max="21" width="12.28515625" style="111" hidden="1" customWidth="1"/>
    <col min="22" max="22" width="9.85546875" style="111" customWidth="1"/>
    <col min="23" max="23" width="9.140625" style="111" hidden="1" customWidth="1"/>
    <col min="24" max="24" width="9.42578125" style="111" customWidth="1"/>
    <col min="25" max="25" width="38.42578125" style="157" customWidth="1"/>
    <col min="26" max="16384" width="14.42578125" style="111"/>
  </cols>
  <sheetData>
    <row r="1" spans="1:26" ht="30.7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c r="Z1" s="94"/>
    </row>
    <row r="2" spans="1:26" ht="10.5" customHeight="1">
      <c r="A2" s="38"/>
      <c r="B2" s="38"/>
      <c r="C2" s="38"/>
      <c r="D2" s="38"/>
      <c r="E2" s="38"/>
      <c r="F2" s="38"/>
      <c r="G2" s="38"/>
      <c r="H2" s="38"/>
      <c r="I2" s="38"/>
      <c r="J2" s="38"/>
      <c r="K2" s="38"/>
      <c r="L2" s="38"/>
      <c r="M2" s="38"/>
      <c r="N2" s="38"/>
      <c r="O2" s="38"/>
      <c r="P2" s="38"/>
      <c r="Q2" s="38"/>
      <c r="R2" s="38"/>
      <c r="S2" s="38"/>
      <c r="T2" s="38"/>
      <c r="U2" s="38"/>
      <c r="V2" s="38"/>
      <c r="W2" s="38"/>
      <c r="X2" s="38"/>
      <c r="Y2" s="39"/>
      <c r="Z2" s="94"/>
    </row>
    <row r="3" spans="1:26" ht="22.5" customHeight="1">
      <c r="A3" s="38"/>
      <c r="B3" s="40"/>
      <c r="C3" s="40"/>
      <c r="D3" s="40"/>
      <c r="E3" s="40" t="s">
        <v>397</v>
      </c>
      <c r="F3" s="40"/>
      <c r="G3" s="40"/>
      <c r="H3" s="40"/>
      <c r="I3" s="40"/>
      <c r="J3" s="40"/>
      <c r="K3" s="40"/>
      <c r="L3" s="40"/>
      <c r="M3" s="40"/>
      <c r="N3" s="40"/>
      <c r="O3" s="40"/>
      <c r="P3" s="40"/>
      <c r="Q3" s="40"/>
      <c r="R3" s="40"/>
      <c r="S3" s="40"/>
      <c r="T3" s="40"/>
      <c r="U3" s="40"/>
      <c r="V3" s="40"/>
      <c r="W3" s="41"/>
      <c r="X3" s="491" t="s">
        <v>2</v>
      </c>
      <c r="Y3" s="492"/>
      <c r="Z3" s="94"/>
    </row>
    <row r="4" spans="1:26" ht="60.75" customHeight="1">
      <c r="A4" s="495" t="s">
        <v>3</v>
      </c>
      <c r="B4" s="495" t="s">
        <v>4</v>
      </c>
      <c r="C4" s="495" t="s">
        <v>5</v>
      </c>
      <c r="D4" s="495" t="s">
        <v>6</v>
      </c>
      <c r="E4" s="495" t="s">
        <v>7</v>
      </c>
      <c r="F4" s="488" t="s">
        <v>8</v>
      </c>
      <c r="G4" s="490"/>
      <c r="H4" s="488" t="s">
        <v>9</v>
      </c>
      <c r="I4" s="489"/>
      <c r="J4" s="489"/>
      <c r="K4" s="490"/>
      <c r="L4" s="488" t="s">
        <v>10</v>
      </c>
      <c r="M4" s="490"/>
      <c r="N4" s="488" t="s">
        <v>11</v>
      </c>
      <c r="O4" s="489"/>
      <c r="P4" s="489"/>
      <c r="Q4" s="490"/>
      <c r="R4" s="488" t="s">
        <v>12</v>
      </c>
      <c r="S4" s="490"/>
      <c r="T4" s="488" t="s">
        <v>13</v>
      </c>
      <c r="U4" s="490"/>
      <c r="V4" s="488" t="s">
        <v>14</v>
      </c>
      <c r="W4" s="490"/>
      <c r="X4" s="42" t="s">
        <v>15</v>
      </c>
      <c r="Y4" s="495" t="s">
        <v>16</v>
      </c>
      <c r="Z4" s="94"/>
    </row>
    <row r="5" spans="1:26" ht="54.75" customHeight="1">
      <c r="A5" s="496"/>
      <c r="B5" s="496"/>
      <c r="C5" s="496"/>
      <c r="D5" s="496"/>
      <c r="E5" s="496"/>
      <c r="F5" s="42" t="s">
        <v>17</v>
      </c>
      <c r="G5" s="42" t="s">
        <v>16</v>
      </c>
      <c r="H5" s="42" t="s">
        <v>18</v>
      </c>
      <c r="I5" s="42" t="s">
        <v>19</v>
      </c>
      <c r="J5" s="42" t="s">
        <v>20</v>
      </c>
      <c r="K5" s="42" t="s">
        <v>16</v>
      </c>
      <c r="L5" s="42" t="s">
        <v>17</v>
      </c>
      <c r="M5" s="42" t="s">
        <v>16</v>
      </c>
      <c r="N5" s="42" t="s">
        <v>1199</v>
      </c>
      <c r="O5" s="42" t="s">
        <v>21</v>
      </c>
      <c r="P5" s="42" t="s">
        <v>22</v>
      </c>
      <c r="Q5" s="42" t="s">
        <v>16</v>
      </c>
      <c r="R5" s="42" t="s">
        <v>17</v>
      </c>
      <c r="S5" s="42" t="s">
        <v>16</v>
      </c>
      <c r="T5" s="42" t="s">
        <v>17</v>
      </c>
      <c r="U5" s="42" t="s">
        <v>16</v>
      </c>
      <c r="V5" s="42" t="s">
        <v>17</v>
      </c>
      <c r="W5" s="42" t="s">
        <v>16</v>
      </c>
      <c r="X5" s="42" t="s">
        <v>23</v>
      </c>
      <c r="Y5" s="511"/>
      <c r="Z5" s="94"/>
    </row>
    <row r="6" spans="1:26" ht="67.5" customHeight="1">
      <c r="A6" s="499" t="s">
        <v>24</v>
      </c>
      <c r="B6" s="497" t="s">
        <v>25</v>
      </c>
      <c r="C6" s="497" t="s">
        <v>26</v>
      </c>
      <c r="D6" s="43">
        <v>1</v>
      </c>
      <c r="E6" s="47" t="s">
        <v>27</v>
      </c>
      <c r="F6" s="21"/>
      <c r="G6" s="21"/>
      <c r="H6" s="21"/>
      <c r="I6" s="21"/>
      <c r="J6" s="21">
        <f t="shared" ref="J6:J67" si="0">H6+I6</f>
        <v>0</v>
      </c>
      <c r="K6" s="21"/>
      <c r="L6" s="21"/>
      <c r="M6" s="21"/>
      <c r="N6" s="21"/>
      <c r="O6" s="21"/>
      <c r="P6" s="21">
        <f t="shared" ref="P6:P67" si="1">N6+O6</f>
        <v>0</v>
      </c>
      <c r="Q6" s="21"/>
      <c r="R6" s="21"/>
      <c r="S6" s="21"/>
      <c r="T6" s="21"/>
      <c r="U6" s="21"/>
      <c r="V6" s="21"/>
      <c r="W6" s="22"/>
      <c r="X6" s="22">
        <f t="shared" ref="X6:X217" si="2">F6+J6+L6+P6+R6+T6+V6</f>
        <v>0</v>
      </c>
      <c r="Y6" s="46"/>
      <c r="Z6" s="94"/>
    </row>
    <row r="7" spans="1:26" ht="63">
      <c r="A7" s="498"/>
      <c r="B7" s="498"/>
      <c r="C7" s="498"/>
      <c r="D7" s="43">
        <v>2</v>
      </c>
      <c r="E7" s="47" t="s">
        <v>28</v>
      </c>
      <c r="F7" s="21"/>
      <c r="G7" s="21"/>
      <c r="H7" s="21"/>
      <c r="I7" s="21"/>
      <c r="J7" s="21">
        <f t="shared" si="0"/>
        <v>0</v>
      </c>
      <c r="K7" s="21"/>
      <c r="L7" s="21"/>
      <c r="M7" s="21"/>
      <c r="N7" s="21"/>
      <c r="O7" s="181"/>
      <c r="P7" s="22">
        <f t="shared" si="1"/>
        <v>0</v>
      </c>
      <c r="Q7" s="182"/>
      <c r="R7" s="182"/>
      <c r="S7" s="183"/>
      <c r="T7" s="183"/>
      <c r="U7" s="21"/>
      <c r="V7" s="21"/>
      <c r="W7" s="22"/>
      <c r="X7" s="22">
        <f t="shared" si="2"/>
        <v>0</v>
      </c>
      <c r="Y7" s="46"/>
      <c r="Z7" s="94"/>
    </row>
    <row r="8" spans="1:26" ht="189">
      <c r="A8" s="498"/>
      <c r="B8" s="498"/>
      <c r="C8" s="498"/>
      <c r="D8" s="43">
        <v>3</v>
      </c>
      <c r="E8" s="43" t="s">
        <v>29</v>
      </c>
      <c r="F8" s="374">
        <v>23.2057</v>
      </c>
      <c r="G8" s="182"/>
      <c r="H8" s="182"/>
      <c r="I8" s="182"/>
      <c r="J8" s="21">
        <f t="shared" si="0"/>
        <v>0</v>
      </c>
      <c r="K8" s="182"/>
      <c r="L8" s="182"/>
      <c r="M8" s="182"/>
      <c r="N8" s="182"/>
      <c r="O8" s="182"/>
      <c r="P8" s="21">
        <f t="shared" si="1"/>
        <v>0</v>
      </c>
      <c r="Q8" s="182"/>
      <c r="R8" s="182"/>
      <c r="S8" s="182"/>
      <c r="T8" s="182"/>
      <c r="U8" s="21"/>
      <c r="V8" s="21"/>
      <c r="W8" s="22"/>
      <c r="X8" s="22">
        <f t="shared" si="2"/>
        <v>23.2057</v>
      </c>
      <c r="Y8" s="46" t="s">
        <v>869</v>
      </c>
      <c r="Z8" s="94"/>
    </row>
    <row r="9" spans="1:26" ht="409.5">
      <c r="A9" s="498"/>
      <c r="B9" s="498"/>
      <c r="C9" s="498"/>
      <c r="D9" s="43">
        <v>4</v>
      </c>
      <c r="E9" s="43" t="s">
        <v>30</v>
      </c>
      <c r="F9" s="21"/>
      <c r="G9" s="21"/>
      <c r="H9" s="21"/>
      <c r="I9" s="21"/>
      <c r="J9" s="21">
        <f t="shared" si="0"/>
        <v>0</v>
      </c>
      <c r="K9" s="21"/>
      <c r="L9" s="21"/>
      <c r="M9" s="21"/>
      <c r="N9" s="21"/>
      <c r="O9" s="409">
        <v>24.16</v>
      </c>
      <c r="P9" s="410">
        <f t="shared" si="1"/>
        <v>24.16</v>
      </c>
      <c r="Q9" s="242"/>
      <c r="R9" s="356">
        <v>29.707999999999998</v>
      </c>
      <c r="S9" s="189"/>
      <c r="T9" s="411">
        <v>36.378</v>
      </c>
      <c r="U9" s="182"/>
      <c r="V9" s="182"/>
      <c r="W9" s="22"/>
      <c r="X9" s="22">
        <f t="shared" si="2"/>
        <v>90.245999999999995</v>
      </c>
      <c r="Y9" s="46" t="s">
        <v>870</v>
      </c>
      <c r="Z9" s="94"/>
    </row>
    <row r="10" spans="1:26" ht="63.75" customHeight="1">
      <c r="A10" s="498"/>
      <c r="B10" s="498"/>
      <c r="C10" s="498"/>
      <c r="D10" s="43">
        <v>5</v>
      </c>
      <c r="E10" s="43" t="s">
        <v>31</v>
      </c>
      <c r="F10" s="182"/>
      <c r="G10" s="182"/>
      <c r="H10" s="182"/>
      <c r="I10" s="182"/>
      <c r="J10" s="21">
        <f t="shared" si="0"/>
        <v>0</v>
      </c>
      <c r="K10" s="182"/>
      <c r="L10" s="182"/>
      <c r="M10" s="182"/>
      <c r="N10" s="182"/>
      <c r="O10" s="412"/>
      <c r="P10" s="410">
        <f t="shared" si="1"/>
        <v>0</v>
      </c>
      <c r="Q10" s="412"/>
      <c r="R10" s="412"/>
      <c r="S10" s="242"/>
      <c r="T10" s="242">
        <v>23.87</v>
      </c>
      <c r="U10" s="182"/>
      <c r="V10" s="182"/>
      <c r="W10" s="22"/>
      <c r="X10" s="22">
        <f t="shared" si="2"/>
        <v>23.87</v>
      </c>
      <c r="Y10" s="46" t="s">
        <v>871</v>
      </c>
      <c r="Z10" s="94"/>
    </row>
    <row r="11" spans="1:26" ht="204.75">
      <c r="A11" s="498"/>
      <c r="B11" s="498"/>
      <c r="C11" s="498"/>
      <c r="D11" s="43">
        <v>6</v>
      </c>
      <c r="E11" s="43" t="s">
        <v>32</v>
      </c>
      <c r="F11" s="182">
        <v>0.59</v>
      </c>
      <c r="G11" s="182"/>
      <c r="H11" s="182"/>
      <c r="I11" s="182"/>
      <c r="J11" s="21">
        <f t="shared" si="0"/>
        <v>0</v>
      </c>
      <c r="K11" s="182"/>
      <c r="L11" s="182"/>
      <c r="M11" s="182"/>
      <c r="N11" s="182"/>
      <c r="O11" s="182"/>
      <c r="P11" s="21">
        <f t="shared" si="1"/>
        <v>0</v>
      </c>
      <c r="Q11" s="182"/>
      <c r="R11" s="182"/>
      <c r="S11" s="183"/>
      <c r="T11" s="183">
        <v>0.48</v>
      </c>
      <c r="U11" s="182"/>
      <c r="V11" s="182"/>
      <c r="W11" s="22"/>
      <c r="X11" s="22">
        <f t="shared" si="2"/>
        <v>1.0699999999999998</v>
      </c>
      <c r="Y11" s="46" t="s">
        <v>872</v>
      </c>
      <c r="Z11" s="94"/>
    </row>
    <row r="12" spans="1:26" ht="63">
      <c r="A12" s="498"/>
      <c r="B12" s="498"/>
      <c r="C12" s="498"/>
      <c r="D12" s="43">
        <v>7</v>
      </c>
      <c r="E12" s="43" t="s">
        <v>33</v>
      </c>
      <c r="F12" s="182"/>
      <c r="G12" s="182"/>
      <c r="H12" s="182"/>
      <c r="I12" s="182"/>
      <c r="J12" s="21">
        <f t="shared" si="0"/>
        <v>0</v>
      </c>
      <c r="K12" s="182"/>
      <c r="L12" s="182"/>
      <c r="M12" s="182"/>
      <c r="N12" s="182"/>
      <c r="O12" s="182"/>
      <c r="P12" s="21">
        <f t="shared" si="1"/>
        <v>0</v>
      </c>
      <c r="Q12" s="182"/>
      <c r="R12" s="182"/>
      <c r="S12" s="183"/>
      <c r="T12" s="183"/>
      <c r="U12" s="182"/>
      <c r="V12" s="182"/>
      <c r="W12" s="22"/>
      <c r="X12" s="22">
        <f t="shared" si="2"/>
        <v>0</v>
      </c>
      <c r="Y12" s="46"/>
      <c r="Z12" s="94"/>
    </row>
    <row r="13" spans="1:26" ht="24.75" customHeight="1">
      <c r="A13" s="498"/>
      <c r="B13" s="498"/>
      <c r="C13" s="498"/>
      <c r="D13" s="43">
        <v>8</v>
      </c>
      <c r="E13" s="43" t="s">
        <v>34</v>
      </c>
      <c r="F13" s="182"/>
      <c r="G13" s="182"/>
      <c r="H13" s="182"/>
      <c r="I13" s="182"/>
      <c r="J13" s="21">
        <f t="shared" si="0"/>
        <v>0</v>
      </c>
      <c r="K13" s="182"/>
      <c r="L13" s="182"/>
      <c r="M13" s="182"/>
      <c r="N13" s="182"/>
      <c r="O13" s="182"/>
      <c r="P13" s="21">
        <f t="shared" si="1"/>
        <v>0</v>
      </c>
      <c r="Q13" s="182"/>
      <c r="R13" s="182"/>
      <c r="S13" s="182"/>
      <c r="T13" s="182"/>
      <c r="U13" s="182"/>
      <c r="V13" s="182"/>
      <c r="W13" s="22"/>
      <c r="X13" s="22">
        <f t="shared" si="2"/>
        <v>0</v>
      </c>
      <c r="Y13" s="46"/>
      <c r="Z13" s="94"/>
    </row>
    <row r="14" spans="1:26" ht="47.25">
      <c r="A14" s="498"/>
      <c r="B14" s="498"/>
      <c r="C14" s="498"/>
      <c r="D14" s="43">
        <v>9</v>
      </c>
      <c r="E14" s="43" t="s">
        <v>35</v>
      </c>
      <c r="F14" s="182"/>
      <c r="G14" s="182"/>
      <c r="H14" s="182"/>
      <c r="I14" s="182"/>
      <c r="J14" s="21">
        <f t="shared" si="0"/>
        <v>0</v>
      </c>
      <c r="K14" s="182"/>
      <c r="L14" s="182"/>
      <c r="M14" s="182"/>
      <c r="N14" s="182"/>
      <c r="O14" s="182"/>
      <c r="P14" s="21">
        <f t="shared" si="1"/>
        <v>0</v>
      </c>
      <c r="Q14" s="182"/>
      <c r="R14" s="182"/>
      <c r="S14" s="182"/>
      <c r="T14" s="190">
        <v>0.01</v>
      </c>
      <c r="U14" s="183"/>
      <c r="V14" s="183"/>
      <c r="W14" s="22"/>
      <c r="X14" s="22">
        <f t="shared" si="2"/>
        <v>0.01</v>
      </c>
      <c r="Y14" s="46" t="s">
        <v>822</v>
      </c>
      <c r="Z14" s="94"/>
    </row>
    <row r="15" spans="1:26" ht="31.5">
      <c r="A15" s="498"/>
      <c r="B15" s="498"/>
      <c r="C15" s="498"/>
      <c r="D15" s="43">
        <v>10</v>
      </c>
      <c r="E15" s="43" t="s">
        <v>36</v>
      </c>
      <c r="F15" s="182"/>
      <c r="G15" s="182"/>
      <c r="H15" s="182"/>
      <c r="I15" s="182"/>
      <c r="J15" s="21">
        <f t="shared" si="0"/>
        <v>0</v>
      </c>
      <c r="K15" s="184"/>
      <c r="L15" s="184"/>
      <c r="M15" s="182"/>
      <c r="N15" s="182"/>
      <c r="O15" s="182"/>
      <c r="P15" s="21">
        <f t="shared" si="1"/>
        <v>0</v>
      </c>
      <c r="Q15" s="182"/>
      <c r="R15" s="182"/>
      <c r="S15" s="182"/>
      <c r="T15" s="182"/>
      <c r="U15" s="182"/>
      <c r="V15" s="182"/>
      <c r="W15" s="22"/>
      <c r="X15" s="22">
        <f t="shared" si="2"/>
        <v>0</v>
      </c>
      <c r="Y15" s="46"/>
      <c r="Z15" s="94"/>
    </row>
    <row r="16" spans="1:26" ht="24.75" customHeight="1">
      <c r="A16" s="498"/>
      <c r="B16" s="498"/>
      <c r="C16" s="498"/>
      <c r="D16" s="43">
        <v>11</v>
      </c>
      <c r="E16" s="43" t="s">
        <v>37</v>
      </c>
      <c r="F16" s="21"/>
      <c r="G16" s="48"/>
      <c r="H16" s="48"/>
      <c r="I16" s="48"/>
      <c r="J16" s="48">
        <f t="shared" si="0"/>
        <v>0</v>
      </c>
      <c r="K16" s="21"/>
      <c r="L16" s="21"/>
      <c r="M16" s="21"/>
      <c r="N16" s="21"/>
      <c r="O16" s="21"/>
      <c r="P16" s="21">
        <f t="shared" si="1"/>
        <v>0</v>
      </c>
      <c r="Q16" s="21"/>
      <c r="R16" s="21"/>
      <c r="S16" s="21"/>
      <c r="T16" s="21"/>
      <c r="U16" s="21"/>
      <c r="V16" s="21"/>
      <c r="W16" s="22"/>
      <c r="X16" s="22">
        <f t="shared" si="2"/>
        <v>0</v>
      </c>
      <c r="Y16" s="46"/>
      <c r="Z16" s="94"/>
    </row>
    <row r="17" spans="1:26" ht="20.25" customHeight="1">
      <c r="A17" s="498"/>
      <c r="B17" s="498"/>
      <c r="C17" s="498"/>
      <c r="D17" s="43">
        <v>12</v>
      </c>
      <c r="E17" s="43" t="s">
        <v>38</v>
      </c>
      <c r="F17" s="21"/>
      <c r="G17" s="21"/>
      <c r="H17" s="21"/>
      <c r="I17" s="21"/>
      <c r="J17" s="21">
        <f t="shared" si="0"/>
        <v>0</v>
      </c>
      <c r="K17" s="21"/>
      <c r="L17" s="21"/>
      <c r="M17" s="21"/>
      <c r="N17" s="21"/>
      <c r="O17" s="21"/>
      <c r="P17" s="21">
        <f t="shared" si="1"/>
        <v>0</v>
      </c>
      <c r="Q17" s="21"/>
      <c r="R17" s="21"/>
      <c r="S17" s="21"/>
      <c r="T17" s="21"/>
      <c r="U17" s="21"/>
      <c r="V17" s="21"/>
      <c r="W17" s="22"/>
      <c r="X17" s="22">
        <f t="shared" si="2"/>
        <v>0</v>
      </c>
      <c r="Y17" s="46"/>
      <c r="Z17" s="94"/>
    </row>
    <row r="18" spans="1:26" ht="24.75" customHeight="1">
      <c r="A18" s="498"/>
      <c r="B18" s="498"/>
      <c r="C18" s="498"/>
      <c r="D18" s="43">
        <v>13</v>
      </c>
      <c r="E18" s="43" t="s">
        <v>39</v>
      </c>
      <c r="F18" s="21"/>
      <c r="G18" s="21"/>
      <c r="H18" s="21"/>
      <c r="I18" s="21"/>
      <c r="J18" s="21">
        <f t="shared" si="0"/>
        <v>0</v>
      </c>
      <c r="K18" s="21"/>
      <c r="L18" s="21"/>
      <c r="M18" s="21"/>
      <c r="N18" s="21"/>
      <c r="O18" s="21"/>
      <c r="P18" s="21">
        <f t="shared" si="1"/>
        <v>0</v>
      </c>
      <c r="Q18" s="21"/>
      <c r="R18" s="21"/>
      <c r="S18" s="48"/>
      <c r="T18" s="48"/>
      <c r="U18" s="21"/>
      <c r="V18" s="21"/>
      <c r="W18" s="22"/>
      <c r="X18" s="22">
        <f t="shared" si="2"/>
        <v>0</v>
      </c>
      <c r="Y18" s="46"/>
      <c r="Z18" s="94"/>
    </row>
    <row r="19" spans="1:26" ht="24.75" customHeight="1">
      <c r="A19" s="498"/>
      <c r="B19" s="498"/>
      <c r="C19" s="498"/>
      <c r="D19" s="43">
        <v>14</v>
      </c>
      <c r="E19" s="43" t="s">
        <v>40</v>
      </c>
      <c r="F19" s="21"/>
      <c r="G19" s="21"/>
      <c r="H19" s="21"/>
      <c r="I19" s="21"/>
      <c r="J19" s="21">
        <f t="shared" si="0"/>
        <v>0</v>
      </c>
      <c r="K19" s="21"/>
      <c r="L19" s="21"/>
      <c r="M19" s="21"/>
      <c r="N19" s="21"/>
      <c r="O19" s="21"/>
      <c r="P19" s="21">
        <f t="shared" si="1"/>
        <v>0</v>
      </c>
      <c r="Q19" s="21"/>
      <c r="R19" s="21"/>
      <c r="S19" s="21"/>
      <c r="T19" s="21"/>
      <c r="U19" s="21"/>
      <c r="V19" s="21"/>
      <c r="W19" s="22"/>
      <c r="X19" s="22">
        <f t="shared" si="2"/>
        <v>0</v>
      </c>
      <c r="Y19" s="46"/>
      <c r="Z19" s="94"/>
    </row>
    <row r="20" spans="1:26" ht="15.75">
      <c r="A20" s="498"/>
      <c r="B20" s="498"/>
      <c r="C20" s="498"/>
      <c r="D20" s="43">
        <v>15</v>
      </c>
      <c r="E20" s="43" t="s">
        <v>41</v>
      </c>
      <c r="F20" s="182"/>
      <c r="G20" s="182"/>
      <c r="H20" s="182"/>
      <c r="I20" s="182"/>
      <c r="J20" s="21">
        <f t="shared" si="0"/>
        <v>0</v>
      </c>
      <c r="K20" s="191"/>
      <c r="L20" s="191"/>
      <c r="M20" s="182"/>
      <c r="N20" s="182"/>
      <c r="O20" s="182"/>
      <c r="P20" s="21">
        <f t="shared" si="1"/>
        <v>0</v>
      </c>
      <c r="Q20" s="182"/>
      <c r="R20" s="182"/>
      <c r="S20" s="48"/>
      <c r="T20" s="48">
        <v>0</v>
      </c>
      <c r="U20" s="21"/>
      <c r="V20" s="21"/>
      <c r="W20" s="22"/>
      <c r="X20" s="22">
        <f t="shared" si="2"/>
        <v>0</v>
      </c>
      <c r="Y20" s="46"/>
      <c r="Z20" s="94"/>
    </row>
    <row r="21" spans="1:26" ht="36.75" hidden="1" customHeight="1">
      <c r="A21" s="498"/>
      <c r="B21" s="498"/>
      <c r="C21" s="498"/>
      <c r="D21" s="43">
        <v>16</v>
      </c>
      <c r="E21" s="43" t="s">
        <v>42</v>
      </c>
      <c r="F21" s="21"/>
      <c r="G21" s="21"/>
      <c r="H21" s="21"/>
      <c r="I21" s="21"/>
      <c r="J21" s="21">
        <f t="shared" si="0"/>
        <v>0</v>
      </c>
      <c r="K21" s="21"/>
      <c r="L21" s="21"/>
      <c r="M21" s="21"/>
      <c r="N21" s="21"/>
      <c r="O21" s="21"/>
      <c r="P21" s="21">
        <f t="shared" si="1"/>
        <v>0</v>
      </c>
      <c r="Q21" s="21"/>
      <c r="R21" s="21"/>
      <c r="S21" s="21"/>
      <c r="T21" s="21"/>
      <c r="U21" s="21"/>
      <c r="V21" s="21"/>
      <c r="W21" s="22"/>
      <c r="X21" s="22">
        <f t="shared" si="2"/>
        <v>0</v>
      </c>
      <c r="Y21" s="46"/>
      <c r="Z21" s="94"/>
    </row>
    <row r="22" spans="1:26" ht="31.5">
      <c r="A22" s="498"/>
      <c r="B22" s="498"/>
      <c r="C22" s="498"/>
      <c r="D22" s="43">
        <v>17</v>
      </c>
      <c r="E22" s="43" t="s">
        <v>43</v>
      </c>
      <c r="F22" s="182"/>
      <c r="G22" s="182"/>
      <c r="H22" s="182"/>
      <c r="I22" s="182"/>
      <c r="J22" s="21">
        <f t="shared" si="0"/>
        <v>0</v>
      </c>
      <c r="K22" s="184"/>
      <c r="L22" s="184"/>
      <c r="M22" s="182"/>
      <c r="N22" s="182"/>
      <c r="O22" s="182"/>
      <c r="P22" s="21">
        <f t="shared" si="1"/>
        <v>0</v>
      </c>
      <c r="Q22" s="182"/>
      <c r="R22" s="182"/>
      <c r="S22" s="183"/>
      <c r="T22" s="183"/>
      <c r="U22" s="183"/>
      <c r="V22" s="183"/>
      <c r="W22" s="22"/>
      <c r="X22" s="22">
        <f t="shared" si="2"/>
        <v>0</v>
      </c>
      <c r="Y22" s="46"/>
      <c r="Z22" s="94"/>
    </row>
    <row r="23" spans="1:26" ht="47.25" hidden="1">
      <c r="A23" s="498"/>
      <c r="B23" s="496"/>
      <c r="C23" s="496"/>
      <c r="D23" s="43">
        <v>18</v>
      </c>
      <c r="E23" s="43" t="s">
        <v>44</v>
      </c>
      <c r="F23" s="182"/>
      <c r="G23" s="182"/>
      <c r="H23" s="182"/>
      <c r="I23" s="182"/>
      <c r="J23" s="21">
        <f t="shared" si="0"/>
        <v>0</v>
      </c>
      <c r="K23" s="182"/>
      <c r="L23" s="182"/>
      <c r="M23" s="182"/>
      <c r="N23" s="182"/>
      <c r="O23" s="182"/>
      <c r="P23" s="21">
        <f t="shared" si="1"/>
        <v>0</v>
      </c>
      <c r="Q23" s="182"/>
      <c r="R23" s="182"/>
      <c r="S23" s="183"/>
      <c r="T23" s="183"/>
      <c r="U23" s="183"/>
      <c r="V23" s="183"/>
      <c r="W23" s="22"/>
      <c r="X23" s="22">
        <f t="shared" si="2"/>
        <v>0</v>
      </c>
      <c r="Y23" s="46"/>
      <c r="Z23" s="94"/>
    </row>
    <row r="24" spans="1:26" ht="24.75" customHeight="1">
      <c r="A24" s="498"/>
      <c r="B24" s="497" t="s">
        <v>45</v>
      </c>
      <c r="C24" s="497" t="s">
        <v>46</v>
      </c>
      <c r="D24" s="43">
        <v>19</v>
      </c>
      <c r="E24" s="43" t="s">
        <v>46</v>
      </c>
      <c r="F24" s="182"/>
      <c r="G24" s="182"/>
      <c r="H24" s="182"/>
      <c r="I24" s="182"/>
      <c r="J24" s="21">
        <f t="shared" si="0"/>
        <v>0</v>
      </c>
      <c r="K24" s="182"/>
      <c r="L24" s="182"/>
      <c r="M24" s="182"/>
      <c r="N24" s="182"/>
      <c r="O24" s="182"/>
      <c r="P24" s="21">
        <f t="shared" si="1"/>
        <v>0</v>
      </c>
      <c r="Q24" s="182"/>
      <c r="R24" s="182"/>
      <c r="S24" s="182"/>
      <c r="T24" s="182"/>
      <c r="U24" s="182"/>
      <c r="V24" s="182"/>
      <c r="W24" s="22"/>
      <c r="X24" s="22">
        <f t="shared" si="2"/>
        <v>0</v>
      </c>
      <c r="Y24" s="46"/>
      <c r="Z24" s="94"/>
    </row>
    <row r="25" spans="1:26" ht="110.25">
      <c r="A25" s="498"/>
      <c r="B25" s="496"/>
      <c r="C25" s="496"/>
      <c r="D25" s="43">
        <v>20</v>
      </c>
      <c r="E25" s="43" t="s">
        <v>47</v>
      </c>
      <c r="F25" s="182"/>
      <c r="G25" s="182"/>
      <c r="H25" s="182"/>
      <c r="I25" s="182"/>
      <c r="J25" s="21">
        <f t="shared" si="0"/>
        <v>0</v>
      </c>
      <c r="K25" s="182"/>
      <c r="L25" s="182"/>
      <c r="M25" s="182"/>
      <c r="N25" s="182"/>
      <c r="O25" s="182"/>
      <c r="P25" s="21">
        <f t="shared" si="1"/>
        <v>0</v>
      </c>
      <c r="Q25" s="182"/>
      <c r="R25" s="182"/>
      <c r="S25" s="182"/>
      <c r="T25" s="182"/>
      <c r="U25" s="182"/>
      <c r="V25" s="182"/>
      <c r="W25" s="22"/>
      <c r="X25" s="22">
        <f t="shared" si="2"/>
        <v>0</v>
      </c>
      <c r="Y25" s="46"/>
      <c r="Z25" s="94"/>
    </row>
    <row r="26" spans="1:26" ht="141.75">
      <c r="A26" s="498"/>
      <c r="B26" s="497" t="s">
        <v>48</v>
      </c>
      <c r="C26" s="497" t="s">
        <v>49</v>
      </c>
      <c r="D26" s="43">
        <v>21</v>
      </c>
      <c r="E26" s="43" t="s">
        <v>50</v>
      </c>
      <c r="F26" s="182"/>
      <c r="G26" s="182"/>
      <c r="H26" s="182"/>
      <c r="I26" s="183"/>
      <c r="J26" s="48">
        <f t="shared" si="0"/>
        <v>0</v>
      </c>
      <c r="K26" s="184"/>
      <c r="L26" s="184"/>
      <c r="M26" s="182"/>
      <c r="N26" s="182"/>
      <c r="O26" s="184"/>
      <c r="P26" s="22">
        <f t="shared" si="1"/>
        <v>0</v>
      </c>
      <c r="Q26" s="182"/>
      <c r="R26" s="182"/>
      <c r="S26" s="183"/>
      <c r="T26" s="183">
        <v>17.904</v>
      </c>
      <c r="U26" s="52"/>
      <c r="V26" s="182"/>
      <c r="W26" s="22"/>
      <c r="X26" s="22">
        <f t="shared" si="2"/>
        <v>17.904</v>
      </c>
      <c r="Y26" s="229" t="s">
        <v>398</v>
      </c>
      <c r="Z26" s="94"/>
    </row>
    <row r="27" spans="1:26" ht="189">
      <c r="A27" s="498"/>
      <c r="B27" s="498"/>
      <c r="C27" s="498"/>
      <c r="D27" s="43">
        <v>22</v>
      </c>
      <c r="E27" s="43" t="s">
        <v>52</v>
      </c>
      <c r="F27" s="183"/>
      <c r="G27" s="182"/>
      <c r="H27" s="182"/>
      <c r="I27" s="183"/>
      <c r="J27" s="48">
        <f t="shared" si="0"/>
        <v>0</v>
      </c>
      <c r="K27" s="192"/>
      <c r="L27" s="192">
        <v>4.05</v>
      </c>
      <c r="M27" s="47"/>
      <c r="N27" s="182"/>
      <c r="O27" s="182"/>
      <c r="P27" s="21">
        <f t="shared" si="1"/>
        <v>0</v>
      </c>
      <c r="Q27" s="183"/>
      <c r="R27" s="183">
        <v>1</v>
      </c>
      <c r="S27" s="48"/>
      <c r="T27" s="413">
        <v>142.82300000000001</v>
      </c>
      <c r="U27" s="47"/>
      <c r="V27" s="182"/>
      <c r="W27" s="22"/>
      <c r="X27" s="22">
        <f t="shared" si="2"/>
        <v>147.87300000000002</v>
      </c>
      <c r="Y27" s="46" t="s">
        <v>776</v>
      </c>
      <c r="Z27" s="94"/>
    </row>
    <row r="28" spans="1:26" ht="31.5" customHeight="1">
      <c r="A28" s="498"/>
      <c r="B28" s="498"/>
      <c r="C28" s="498"/>
      <c r="D28" s="43">
        <v>23</v>
      </c>
      <c r="E28" s="43" t="s">
        <v>55</v>
      </c>
      <c r="F28" s="182"/>
      <c r="G28" s="182"/>
      <c r="H28" s="182"/>
      <c r="I28" s="182"/>
      <c r="J28" s="21">
        <f t="shared" si="0"/>
        <v>0</v>
      </c>
      <c r="K28" s="182"/>
      <c r="L28" s="182"/>
      <c r="M28" s="182"/>
      <c r="N28" s="182"/>
      <c r="O28" s="184"/>
      <c r="P28" s="22">
        <f t="shared" si="1"/>
        <v>0</v>
      </c>
      <c r="Q28" s="182"/>
      <c r="R28" s="182"/>
      <c r="S28" s="182"/>
      <c r="T28" s="182"/>
      <c r="U28" s="182"/>
      <c r="V28" s="182"/>
      <c r="W28" s="22"/>
      <c r="X28" s="22">
        <f t="shared" si="2"/>
        <v>0</v>
      </c>
      <c r="Y28" s="46"/>
      <c r="Z28" s="94"/>
    </row>
    <row r="29" spans="1:26" ht="157.5">
      <c r="A29" s="498"/>
      <c r="B29" s="498"/>
      <c r="C29" s="498"/>
      <c r="D29" s="43">
        <v>24</v>
      </c>
      <c r="E29" s="43" t="s">
        <v>56</v>
      </c>
      <c r="F29" s="182"/>
      <c r="G29" s="182"/>
      <c r="H29" s="182"/>
      <c r="I29" s="183"/>
      <c r="J29" s="48">
        <f t="shared" si="0"/>
        <v>0</v>
      </c>
      <c r="K29" s="182"/>
      <c r="L29" s="182"/>
      <c r="M29" s="182"/>
      <c r="N29" s="182"/>
      <c r="O29" s="182"/>
      <c r="P29" s="21">
        <f t="shared" si="1"/>
        <v>0</v>
      </c>
      <c r="Q29" s="182"/>
      <c r="R29" s="182"/>
      <c r="S29" s="182"/>
      <c r="T29" s="182">
        <v>2.15</v>
      </c>
      <c r="U29" s="78"/>
      <c r="V29" s="182"/>
      <c r="W29" s="22"/>
      <c r="X29" s="22">
        <f t="shared" si="2"/>
        <v>2.15</v>
      </c>
      <c r="Y29" s="46" t="s">
        <v>777</v>
      </c>
      <c r="Z29" s="94"/>
    </row>
    <row r="30" spans="1:26" ht="409.5">
      <c r="A30" s="498"/>
      <c r="B30" s="498"/>
      <c r="C30" s="498"/>
      <c r="D30" s="43">
        <v>25</v>
      </c>
      <c r="E30" s="43" t="s">
        <v>57</v>
      </c>
      <c r="F30" s="182"/>
      <c r="G30" s="182"/>
      <c r="H30" s="182"/>
      <c r="I30" s="182"/>
      <c r="J30" s="21">
        <f t="shared" si="0"/>
        <v>0</v>
      </c>
      <c r="K30" s="182"/>
      <c r="L30" s="182"/>
      <c r="M30" s="182"/>
      <c r="N30" s="182"/>
      <c r="O30" s="182"/>
      <c r="P30" s="21">
        <f t="shared" si="1"/>
        <v>0</v>
      </c>
      <c r="Q30" s="182"/>
      <c r="R30" s="182"/>
      <c r="S30" s="182"/>
      <c r="T30" s="182">
        <v>0.6</v>
      </c>
      <c r="U30" s="47"/>
      <c r="V30" s="182"/>
      <c r="W30" s="22"/>
      <c r="X30" s="22">
        <f t="shared" si="2"/>
        <v>0.6</v>
      </c>
      <c r="Y30" s="46" t="s">
        <v>778</v>
      </c>
      <c r="Z30" s="94"/>
    </row>
    <row r="31" spans="1:26" ht="15.75">
      <c r="A31" s="498"/>
      <c r="B31" s="498"/>
      <c r="C31" s="498"/>
      <c r="D31" s="43">
        <v>26</v>
      </c>
      <c r="E31" s="43" t="s">
        <v>58</v>
      </c>
      <c r="F31" s="182"/>
      <c r="G31" s="182"/>
      <c r="H31" s="182"/>
      <c r="I31" s="182"/>
      <c r="J31" s="21">
        <f t="shared" si="0"/>
        <v>0</v>
      </c>
      <c r="K31" s="184"/>
      <c r="L31" s="184"/>
      <c r="M31" s="182"/>
      <c r="N31" s="182"/>
      <c r="O31" s="182"/>
      <c r="P31" s="21">
        <f t="shared" si="1"/>
        <v>0</v>
      </c>
      <c r="Q31" s="182"/>
      <c r="R31" s="182"/>
      <c r="S31" s="182"/>
      <c r="T31" s="182"/>
      <c r="U31" s="182"/>
      <c r="V31" s="182"/>
      <c r="W31" s="22"/>
      <c r="X31" s="22">
        <f t="shared" si="2"/>
        <v>0</v>
      </c>
      <c r="Y31" s="46"/>
      <c r="Z31" s="94"/>
    </row>
    <row r="32" spans="1:26" ht="53.25" customHeight="1">
      <c r="A32" s="498"/>
      <c r="B32" s="498"/>
      <c r="C32" s="498"/>
      <c r="D32" s="43">
        <v>27</v>
      </c>
      <c r="E32" s="43" t="s">
        <v>59</v>
      </c>
      <c r="F32" s="182"/>
      <c r="G32" s="182"/>
      <c r="H32" s="182"/>
      <c r="I32" s="183"/>
      <c r="J32" s="48">
        <f t="shared" si="0"/>
        <v>0</v>
      </c>
      <c r="K32" s="184"/>
      <c r="L32" s="184"/>
      <c r="M32" s="182"/>
      <c r="N32" s="182"/>
      <c r="O32" s="182"/>
      <c r="P32" s="21">
        <f t="shared" si="1"/>
        <v>0</v>
      </c>
      <c r="Q32" s="182"/>
      <c r="R32" s="182"/>
      <c r="S32" s="193"/>
      <c r="T32" s="193">
        <v>2</v>
      </c>
      <c r="U32" s="53"/>
      <c r="V32" s="182"/>
      <c r="W32" s="22"/>
      <c r="X32" s="22">
        <f t="shared" si="2"/>
        <v>2</v>
      </c>
      <c r="Y32" s="46" t="s">
        <v>795</v>
      </c>
      <c r="Z32" s="94"/>
    </row>
    <row r="33" spans="1:26" ht="50.25" customHeight="1">
      <c r="A33" s="498"/>
      <c r="B33" s="498"/>
      <c r="C33" s="498"/>
      <c r="D33" s="43">
        <v>28</v>
      </c>
      <c r="E33" s="43" t="s">
        <v>30</v>
      </c>
      <c r="F33" s="182"/>
      <c r="G33" s="182"/>
      <c r="H33" s="182"/>
      <c r="I33" s="182"/>
      <c r="J33" s="21">
        <f t="shared" si="0"/>
        <v>0</v>
      </c>
      <c r="K33" s="182"/>
      <c r="L33" s="182"/>
      <c r="M33" s="182"/>
      <c r="N33" s="182"/>
      <c r="O33" s="184">
        <v>2.9756999999999998</v>
      </c>
      <c r="P33" s="22">
        <f t="shared" si="1"/>
        <v>2.9756999999999998</v>
      </c>
      <c r="Q33" s="46"/>
      <c r="R33" s="184">
        <v>2.9756999999999998</v>
      </c>
      <c r="S33" s="46"/>
      <c r="T33" s="182"/>
      <c r="U33" s="182"/>
      <c r="V33" s="182"/>
      <c r="W33" s="22"/>
      <c r="X33" s="22">
        <f t="shared" si="2"/>
        <v>5.9513999999999996</v>
      </c>
      <c r="Y33" s="229" t="s">
        <v>779</v>
      </c>
      <c r="Z33" s="94"/>
    </row>
    <row r="34" spans="1:26" ht="48" customHeight="1">
      <c r="A34" s="498"/>
      <c r="B34" s="498"/>
      <c r="C34" s="498"/>
      <c r="D34" s="43">
        <v>29</v>
      </c>
      <c r="E34" s="43" t="s">
        <v>31</v>
      </c>
      <c r="F34" s="182"/>
      <c r="G34" s="182"/>
      <c r="H34" s="182"/>
      <c r="I34" s="182"/>
      <c r="J34" s="21">
        <f t="shared" si="0"/>
        <v>0</v>
      </c>
      <c r="K34" s="182"/>
      <c r="L34" s="182"/>
      <c r="M34" s="182"/>
      <c r="N34" s="182"/>
      <c r="O34" s="182"/>
      <c r="P34" s="21">
        <f t="shared" si="1"/>
        <v>0</v>
      </c>
      <c r="Q34" s="182"/>
      <c r="R34" s="182"/>
      <c r="S34" s="184"/>
      <c r="T34" s="184">
        <v>10.414949999999999</v>
      </c>
      <c r="U34" s="46"/>
      <c r="V34" s="182"/>
      <c r="W34" s="22"/>
      <c r="X34" s="22">
        <f t="shared" si="2"/>
        <v>10.414949999999999</v>
      </c>
      <c r="Y34" s="229" t="s">
        <v>780</v>
      </c>
      <c r="Z34" s="94"/>
    </row>
    <row r="35" spans="1:26" ht="47.25">
      <c r="A35" s="498"/>
      <c r="B35" s="498"/>
      <c r="C35" s="498"/>
      <c r="D35" s="43">
        <v>30</v>
      </c>
      <c r="E35" s="43" t="s">
        <v>60</v>
      </c>
      <c r="F35" s="182"/>
      <c r="G35" s="182"/>
      <c r="H35" s="182"/>
      <c r="I35" s="182"/>
      <c r="J35" s="21">
        <f t="shared" si="0"/>
        <v>0</v>
      </c>
      <c r="K35" s="184"/>
      <c r="L35" s="184"/>
      <c r="M35" s="182"/>
      <c r="N35" s="182"/>
      <c r="O35" s="182"/>
      <c r="P35" s="21">
        <f t="shared" si="1"/>
        <v>0</v>
      </c>
      <c r="Q35" s="182"/>
      <c r="R35" s="182"/>
      <c r="S35" s="182"/>
      <c r="T35" s="182"/>
      <c r="U35" s="182"/>
      <c r="V35" s="182"/>
      <c r="W35" s="22"/>
      <c r="X35" s="22">
        <f t="shared" si="2"/>
        <v>0</v>
      </c>
      <c r="Y35" s="46"/>
      <c r="Z35" s="94"/>
    </row>
    <row r="36" spans="1:26" ht="47.25" hidden="1">
      <c r="A36" s="498"/>
      <c r="B36" s="496"/>
      <c r="C36" s="496"/>
      <c r="D36" s="43">
        <v>31</v>
      </c>
      <c r="E36" s="43" t="s">
        <v>44</v>
      </c>
      <c r="F36" s="182"/>
      <c r="G36" s="182"/>
      <c r="H36" s="182"/>
      <c r="I36" s="182"/>
      <c r="J36" s="21">
        <f t="shared" si="0"/>
        <v>0</v>
      </c>
      <c r="K36" s="182"/>
      <c r="L36" s="182"/>
      <c r="M36" s="182"/>
      <c r="N36" s="182"/>
      <c r="O36" s="182"/>
      <c r="P36" s="21">
        <f t="shared" si="1"/>
        <v>0</v>
      </c>
      <c r="Q36" s="182"/>
      <c r="R36" s="182"/>
      <c r="S36" s="182"/>
      <c r="T36" s="182"/>
      <c r="U36" s="182"/>
      <c r="V36" s="182"/>
      <c r="W36" s="22"/>
      <c r="X36" s="22">
        <f t="shared" si="2"/>
        <v>0</v>
      </c>
      <c r="Y36" s="46"/>
      <c r="Z36" s="94"/>
    </row>
    <row r="37" spans="1:26" ht="378">
      <c r="A37" s="498"/>
      <c r="B37" s="497" t="s">
        <v>61</v>
      </c>
      <c r="C37" s="497" t="s">
        <v>62</v>
      </c>
      <c r="D37" s="43">
        <v>32</v>
      </c>
      <c r="E37" s="43" t="s">
        <v>63</v>
      </c>
      <c r="F37" s="182"/>
      <c r="G37" s="182"/>
      <c r="H37" s="182"/>
      <c r="I37" s="182"/>
      <c r="J37" s="21">
        <f t="shared" si="0"/>
        <v>0</v>
      </c>
      <c r="K37" s="184"/>
      <c r="L37" s="184"/>
      <c r="M37" s="182"/>
      <c r="N37" s="182"/>
      <c r="O37" s="182"/>
      <c r="P37" s="21">
        <f t="shared" si="1"/>
        <v>0</v>
      </c>
      <c r="Q37" s="184"/>
      <c r="R37" s="184"/>
      <c r="S37" s="183"/>
      <c r="T37" s="183">
        <v>7.9215</v>
      </c>
      <c r="U37" s="184"/>
      <c r="V37" s="184"/>
      <c r="W37" s="22"/>
      <c r="X37" s="22">
        <f t="shared" si="2"/>
        <v>7.9215</v>
      </c>
      <c r="Y37" s="46" t="s">
        <v>1172</v>
      </c>
      <c r="Z37" s="94"/>
    </row>
    <row r="38" spans="1:26" ht="35.25" customHeight="1">
      <c r="A38" s="498"/>
      <c r="B38" s="498"/>
      <c r="C38" s="498"/>
      <c r="D38" s="43">
        <v>33</v>
      </c>
      <c r="E38" s="43" t="s">
        <v>64</v>
      </c>
      <c r="F38" s="21"/>
      <c r="G38" s="21"/>
      <c r="H38" s="21"/>
      <c r="I38" s="21"/>
      <c r="J38" s="21">
        <f t="shared" si="0"/>
        <v>0</v>
      </c>
      <c r="K38" s="21"/>
      <c r="L38" s="21"/>
      <c r="M38" s="21"/>
      <c r="N38" s="21"/>
      <c r="O38" s="21"/>
      <c r="P38" s="21">
        <f t="shared" si="1"/>
        <v>0</v>
      </c>
      <c r="Q38" s="21"/>
      <c r="R38" s="21"/>
      <c r="S38" s="21"/>
      <c r="T38" s="21"/>
      <c r="U38" s="21"/>
      <c r="V38" s="21"/>
      <c r="W38" s="22"/>
      <c r="X38" s="22">
        <f t="shared" si="2"/>
        <v>0</v>
      </c>
      <c r="Y38" s="46"/>
      <c r="Z38" s="94"/>
    </row>
    <row r="39" spans="1:26" ht="39.75" customHeight="1">
      <c r="A39" s="498"/>
      <c r="B39" s="496"/>
      <c r="C39" s="496"/>
      <c r="D39" s="43">
        <v>34</v>
      </c>
      <c r="E39" s="43" t="s">
        <v>65</v>
      </c>
      <c r="F39" s="21"/>
      <c r="G39" s="21"/>
      <c r="H39" s="21"/>
      <c r="I39" s="21"/>
      <c r="J39" s="21">
        <f t="shared" si="0"/>
        <v>0</v>
      </c>
      <c r="K39" s="21"/>
      <c r="L39" s="21"/>
      <c r="M39" s="21"/>
      <c r="N39" s="21"/>
      <c r="O39" s="21"/>
      <c r="P39" s="21">
        <f t="shared" si="1"/>
        <v>0</v>
      </c>
      <c r="Q39" s="21"/>
      <c r="R39" s="21"/>
      <c r="S39" s="48"/>
      <c r="T39" s="48"/>
      <c r="U39" s="21"/>
      <c r="V39" s="21"/>
      <c r="W39" s="22"/>
      <c r="X39" s="22">
        <f t="shared" si="2"/>
        <v>0</v>
      </c>
      <c r="Y39" s="46"/>
      <c r="Z39" s="94"/>
    </row>
    <row r="40" spans="1:26" ht="204.75">
      <c r="A40" s="498"/>
      <c r="B40" s="497" t="s">
        <v>66</v>
      </c>
      <c r="C40" s="497" t="s">
        <v>67</v>
      </c>
      <c r="D40" s="43">
        <v>35</v>
      </c>
      <c r="E40" s="67" t="s">
        <v>68</v>
      </c>
      <c r="F40" s="21"/>
      <c r="G40" s="21"/>
      <c r="H40" s="21"/>
      <c r="I40" s="21"/>
      <c r="J40" s="21">
        <f t="shared" si="0"/>
        <v>0</v>
      </c>
      <c r="K40" s="22"/>
      <c r="L40" s="22"/>
      <c r="M40" s="21"/>
      <c r="N40" s="21"/>
      <c r="O40" s="21"/>
      <c r="P40" s="21">
        <f t="shared" si="1"/>
        <v>0</v>
      </c>
      <c r="Q40" s="21"/>
      <c r="R40" s="21"/>
      <c r="S40" s="48"/>
      <c r="T40" s="48">
        <f>0.6+0.96+0.15</f>
        <v>1.71</v>
      </c>
      <c r="U40" s="21"/>
      <c r="V40" s="21"/>
      <c r="W40" s="22"/>
      <c r="X40" s="22">
        <f t="shared" si="2"/>
        <v>1.71</v>
      </c>
      <c r="Y40" s="46" t="s">
        <v>399</v>
      </c>
      <c r="Z40" s="94"/>
    </row>
    <row r="41" spans="1:26" ht="63">
      <c r="A41" s="498"/>
      <c r="B41" s="498"/>
      <c r="C41" s="498"/>
      <c r="D41" s="43">
        <v>36</v>
      </c>
      <c r="E41" s="67" t="s">
        <v>70</v>
      </c>
      <c r="F41" s="21"/>
      <c r="G41" s="21"/>
      <c r="H41" s="21"/>
      <c r="I41" s="21"/>
      <c r="J41" s="21">
        <f t="shared" si="0"/>
        <v>0</v>
      </c>
      <c r="K41" s="21"/>
      <c r="L41" s="21"/>
      <c r="M41" s="21"/>
      <c r="N41" s="21"/>
      <c r="O41" s="22"/>
      <c r="P41" s="22">
        <f t="shared" si="1"/>
        <v>0</v>
      </c>
      <c r="Q41" s="21"/>
      <c r="R41" s="21"/>
      <c r="S41" s="21"/>
      <c r="T41" s="21"/>
      <c r="U41" s="21"/>
      <c r="V41" s="21"/>
      <c r="W41" s="22"/>
      <c r="X41" s="22">
        <f t="shared" si="2"/>
        <v>0</v>
      </c>
      <c r="Y41" s="46"/>
      <c r="Z41" s="94"/>
    </row>
    <row r="42" spans="1:26" ht="47.25">
      <c r="A42" s="498"/>
      <c r="B42" s="498"/>
      <c r="C42" s="498"/>
      <c r="D42" s="43">
        <v>37</v>
      </c>
      <c r="E42" s="43" t="s">
        <v>71</v>
      </c>
      <c r="F42" s="21"/>
      <c r="G42" s="21"/>
      <c r="H42" s="21"/>
      <c r="I42" s="21"/>
      <c r="J42" s="21">
        <f t="shared" si="0"/>
        <v>0</v>
      </c>
      <c r="K42" s="21"/>
      <c r="L42" s="21"/>
      <c r="M42" s="21"/>
      <c r="N42" s="21"/>
      <c r="O42" s="22"/>
      <c r="P42" s="22">
        <f t="shared" si="1"/>
        <v>0</v>
      </c>
      <c r="Q42" s="21"/>
      <c r="R42" s="21"/>
      <c r="S42" s="21"/>
      <c r="T42" s="21"/>
      <c r="U42" s="21"/>
      <c r="V42" s="21"/>
      <c r="W42" s="22"/>
      <c r="X42" s="22">
        <f t="shared" si="2"/>
        <v>0</v>
      </c>
      <c r="Y42" s="46"/>
      <c r="Z42" s="94"/>
    </row>
    <row r="43" spans="1:26" ht="141.75">
      <c r="A43" s="498"/>
      <c r="B43" s="498"/>
      <c r="C43" s="498"/>
      <c r="D43" s="43">
        <v>38</v>
      </c>
      <c r="E43" s="194" t="s">
        <v>72</v>
      </c>
      <c r="F43" s="21"/>
      <c r="G43" s="21"/>
      <c r="H43" s="21"/>
      <c r="I43" s="21"/>
      <c r="J43" s="21">
        <f t="shared" si="0"/>
        <v>0</v>
      </c>
      <c r="K43" s="21"/>
      <c r="L43" s="21"/>
      <c r="M43" s="21"/>
      <c r="N43" s="21"/>
      <c r="O43" s="21"/>
      <c r="P43" s="21">
        <f t="shared" si="1"/>
        <v>0</v>
      </c>
      <c r="Q43" s="21"/>
      <c r="R43" s="21"/>
      <c r="S43" s="48"/>
      <c r="T43" s="48">
        <v>3.2</v>
      </c>
      <c r="U43" s="21"/>
      <c r="V43" s="21"/>
      <c r="W43" s="22"/>
      <c r="X43" s="22">
        <f t="shared" si="2"/>
        <v>3.2</v>
      </c>
      <c r="Y43" s="46" t="s">
        <v>588</v>
      </c>
      <c r="Z43" s="94"/>
    </row>
    <row r="44" spans="1:26" ht="78.75">
      <c r="A44" s="498"/>
      <c r="B44" s="498"/>
      <c r="C44" s="498"/>
      <c r="D44" s="43">
        <v>39</v>
      </c>
      <c r="E44" s="43" t="s">
        <v>74</v>
      </c>
      <c r="F44" s="21"/>
      <c r="G44" s="21"/>
      <c r="H44" s="21"/>
      <c r="I44" s="21"/>
      <c r="J44" s="21">
        <f t="shared" si="0"/>
        <v>0</v>
      </c>
      <c r="K44" s="21"/>
      <c r="L44" s="21"/>
      <c r="M44" s="21"/>
      <c r="N44" s="21"/>
      <c r="O44" s="21"/>
      <c r="P44" s="21">
        <f t="shared" si="1"/>
        <v>0</v>
      </c>
      <c r="Q44" s="21"/>
      <c r="R44" s="21"/>
      <c r="S44" s="48"/>
      <c r="T44" s="48"/>
      <c r="U44" s="21"/>
      <c r="V44" s="21"/>
      <c r="W44" s="22"/>
      <c r="X44" s="22">
        <f t="shared" si="2"/>
        <v>0</v>
      </c>
      <c r="Y44" s="46"/>
      <c r="Z44" s="94"/>
    </row>
    <row r="45" spans="1:26" ht="94.5">
      <c r="A45" s="498"/>
      <c r="B45" s="498"/>
      <c r="C45" s="498"/>
      <c r="D45" s="43">
        <v>40</v>
      </c>
      <c r="E45" s="43" t="s">
        <v>75</v>
      </c>
      <c r="F45" s="21"/>
      <c r="G45" s="21"/>
      <c r="H45" s="21"/>
      <c r="I45" s="21"/>
      <c r="J45" s="21">
        <f t="shared" si="0"/>
        <v>0</v>
      </c>
      <c r="K45" s="21"/>
      <c r="L45" s="21"/>
      <c r="M45" s="21"/>
      <c r="N45" s="21"/>
      <c r="O45" s="21"/>
      <c r="P45" s="21">
        <f t="shared" si="1"/>
        <v>0</v>
      </c>
      <c r="Q45" s="21"/>
      <c r="R45" s="21"/>
      <c r="S45" s="48"/>
      <c r="T45" s="48">
        <f>(500*5*15)/100000</f>
        <v>0.375</v>
      </c>
      <c r="U45" s="21"/>
      <c r="V45" s="21"/>
      <c r="W45" s="22"/>
      <c r="X45" s="22">
        <f t="shared" si="2"/>
        <v>0.375</v>
      </c>
      <c r="Y45" s="46" t="s">
        <v>583</v>
      </c>
      <c r="Z45" s="94"/>
    </row>
    <row r="46" spans="1:26" ht="47.25" hidden="1">
      <c r="A46" s="498"/>
      <c r="B46" s="496"/>
      <c r="C46" s="496"/>
      <c r="D46" s="43">
        <v>41</v>
      </c>
      <c r="E46" s="43" t="s">
        <v>44</v>
      </c>
      <c r="F46" s="21"/>
      <c r="G46" s="21"/>
      <c r="H46" s="21"/>
      <c r="I46" s="21"/>
      <c r="J46" s="21">
        <f t="shared" si="0"/>
        <v>0</v>
      </c>
      <c r="K46" s="21"/>
      <c r="L46" s="21"/>
      <c r="M46" s="21"/>
      <c r="N46" s="21"/>
      <c r="O46" s="21"/>
      <c r="P46" s="21">
        <f t="shared" si="1"/>
        <v>0</v>
      </c>
      <c r="Q46" s="21"/>
      <c r="R46" s="21"/>
      <c r="S46" s="21"/>
      <c r="T46" s="21"/>
      <c r="U46" s="21"/>
      <c r="V46" s="21"/>
      <c r="W46" s="22"/>
      <c r="X46" s="22">
        <f t="shared" si="2"/>
        <v>0</v>
      </c>
      <c r="Y46" s="46"/>
      <c r="Z46" s="94"/>
    </row>
    <row r="47" spans="1:26" ht="78.75">
      <c r="A47" s="498"/>
      <c r="B47" s="497" t="s">
        <v>76</v>
      </c>
      <c r="C47" s="497" t="s">
        <v>77</v>
      </c>
      <c r="D47" s="43">
        <v>42</v>
      </c>
      <c r="E47" s="43" t="s">
        <v>78</v>
      </c>
      <c r="F47" s="183">
        <v>3.2647499999999998</v>
      </c>
      <c r="G47" s="182"/>
      <c r="H47" s="182"/>
      <c r="I47" s="182"/>
      <c r="J47" s="21">
        <f t="shared" si="0"/>
        <v>0</v>
      </c>
      <c r="K47" s="184"/>
      <c r="L47" s="184"/>
      <c r="M47" s="182"/>
      <c r="N47" s="182"/>
      <c r="O47" s="182"/>
      <c r="P47" s="21">
        <f t="shared" si="1"/>
        <v>0</v>
      </c>
      <c r="Q47" s="182"/>
      <c r="R47" s="182"/>
      <c r="S47" s="183"/>
      <c r="T47" s="183"/>
      <c r="U47" s="182"/>
      <c r="V47" s="182"/>
      <c r="W47" s="22"/>
      <c r="X47" s="22">
        <f t="shared" si="2"/>
        <v>3.2647499999999998</v>
      </c>
      <c r="Y47" s="46" t="s">
        <v>949</v>
      </c>
      <c r="Z47" s="94"/>
    </row>
    <row r="48" spans="1:26" ht="53.25" customHeight="1">
      <c r="A48" s="498"/>
      <c r="B48" s="498"/>
      <c r="C48" s="498"/>
      <c r="D48" s="43">
        <v>43</v>
      </c>
      <c r="E48" s="43" t="s">
        <v>79</v>
      </c>
      <c r="F48" s="183">
        <v>0.19500000000000001</v>
      </c>
      <c r="G48" s="182"/>
      <c r="H48" s="182"/>
      <c r="I48" s="182"/>
      <c r="J48" s="21">
        <f t="shared" si="0"/>
        <v>0</v>
      </c>
      <c r="K48" s="184"/>
      <c r="L48" s="184"/>
      <c r="M48" s="182"/>
      <c r="N48" s="182"/>
      <c r="O48" s="182"/>
      <c r="P48" s="21">
        <f t="shared" si="1"/>
        <v>0</v>
      </c>
      <c r="Q48" s="182"/>
      <c r="R48" s="182"/>
      <c r="S48" s="183"/>
      <c r="T48" s="183"/>
      <c r="U48" s="182"/>
      <c r="V48" s="182"/>
      <c r="W48" s="22"/>
      <c r="X48" s="22">
        <f t="shared" si="2"/>
        <v>0.19500000000000001</v>
      </c>
      <c r="Y48" s="46" t="s">
        <v>950</v>
      </c>
      <c r="Z48" s="94"/>
    </row>
    <row r="49" spans="1:26" ht="86.25" customHeight="1">
      <c r="A49" s="498"/>
      <c r="B49" s="498"/>
      <c r="C49" s="498"/>
      <c r="D49" s="43">
        <v>44</v>
      </c>
      <c r="E49" s="43" t="s">
        <v>80</v>
      </c>
      <c r="F49" s="183">
        <v>0.375</v>
      </c>
      <c r="G49" s="182"/>
      <c r="H49" s="182"/>
      <c r="I49" s="182"/>
      <c r="J49" s="21">
        <f t="shared" si="0"/>
        <v>0</v>
      </c>
      <c r="K49" s="184"/>
      <c r="L49" s="184"/>
      <c r="M49" s="182"/>
      <c r="N49" s="182"/>
      <c r="O49" s="182"/>
      <c r="P49" s="21">
        <f t="shared" si="1"/>
        <v>0</v>
      </c>
      <c r="Q49" s="182"/>
      <c r="R49" s="182"/>
      <c r="S49" s="183"/>
      <c r="T49" s="183"/>
      <c r="U49" s="182"/>
      <c r="V49" s="182"/>
      <c r="W49" s="22"/>
      <c r="X49" s="22">
        <f t="shared" si="2"/>
        <v>0.375</v>
      </c>
      <c r="Y49" s="46" t="s">
        <v>902</v>
      </c>
      <c r="Z49" s="94"/>
    </row>
    <row r="50" spans="1:26" ht="101.25" customHeight="1">
      <c r="A50" s="498"/>
      <c r="B50" s="498"/>
      <c r="C50" s="498"/>
      <c r="D50" s="43"/>
      <c r="E50" s="43" t="s">
        <v>81</v>
      </c>
      <c r="F50" s="183">
        <v>0.17699999999999999</v>
      </c>
      <c r="G50" s="182"/>
      <c r="H50" s="182"/>
      <c r="I50" s="182"/>
      <c r="J50" s="21">
        <f t="shared" si="0"/>
        <v>0</v>
      </c>
      <c r="K50" s="182"/>
      <c r="L50" s="182"/>
      <c r="M50" s="182"/>
      <c r="N50" s="182"/>
      <c r="O50" s="182"/>
      <c r="P50" s="21">
        <f t="shared" si="1"/>
        <v>0</v>
      </c>
      <c r="Q50" s="182"/>
      <c r="R50" s="182"/>
      <c r="S50" s="182"/>
      <c r="T50" s="182"/>
      <c r="U50" s="182"/>
      <c r="V50" s="182"/>
      <c r="W50" s="22"/>
      <c r="X50" s="22">
        <f t="shared" si="2"/>
        <v>0.17699999999999999</v>
      </c>
      <c r="Y50" s="46" t="s">
        <v>903</v>
      </c>
      <c r="Z50" s="94"/>
    </row>
    <row r="51" spans="1:26" ht="31.5">
      <c r="A51" s="498"/>
      <c r="B51" s="498"/>
      <c r="C51" s="498"/>
      <c r="D51" s="43">
        <v>46</v>
      </c>
      <c r="E51" s="43" t="s">
        <v>82</v>
      </c>
      <c r="F51" s="182"/>
      <c r="G51" s="182"/>
      <c r="H51" s="182"/>
      <c r="I51" s="182"/>
      <c r="J51" s="21">
        <f t="shared" si="0"/>
        <v>0</v>
      </c>
      <c r="K51" s="182"/>
      <c r="L51" s="182"/>
      <c r="M51" s="182"/>
      <c r="N51" s="182"/>
      <c r="O51" s="182"/>
      <c r="P51" s="21">
        <f t="shared" si="1"/>
        <v>0</v>
      </c>
      <c r="Q51" s="182"/>
      <c r="R51" s="182"/>
      <c r="S51" s="182"/>
      <c r="T51" s="182"/>
      <c r="U51" s="182"/>
      <c r="V51" s="182"/>
      <c r="W51" s="22"/>
      <c r="X51" s="22">
        <f t="shared" si="2"/>
        <v>0</v>
      </c>
      <c r="Y51" s="46"/>
      <c r="Z51" s="94"/>
    </row>
    <row r="52" spans="1:26" ht="47.25">
      <c r="A52" s="498"/>
      <c r="B52" s="498"/>
      <c r="C52" s="498"/>
      <c r="D52" s="43">
        <v>47</v>
      </c>
      <c r="E52" s="43" t="s">
        <v>83</v>
      </c>
      <c r="F52" s="183"/>
      <c r="G52" s="182"/>
      <c r="H52" s="182"/>
      <c r="I52" s="182"/>
      <c r="J52" s="21">
        <f t="shared" si="0"/>
        <v>0</v>
      </c>
      <c r="K52" s="182"/>
      <c r="L52" s="182"/>
      <c r="M52" s="182"/>
      <c r="N52" s="182"/>
      <c r="O52" s="182"/>
      <c r="P52" s="21">
        <f t="shared" si="1"/>
        <v>0</v>
      </c>
      <c r="Q52" s="182"/>
      <c r="R52" s="182"/>
      <c r="S52" s="182"/>
      <c r="T52" s="182"/>
      <c r="U52" s="182"/>
      <c r="V52" s="182"/>
      <c r="W52" s="22"/>
      <c r="X52" s="22">
        <f t="shared" si="2"/>
        <v>0</v>
      </c>
      <c r="Y52" s="46"/>
      <c r="Z52" s="94"/>
    </row>
    <row r="53" spans="1:26" ht="15.75">
      <c r="A53" s="498"/>
      <c r="B53" s="498"/>
      <c r="C53" s="498"/>
      <c r="D53" s="43">
        <v>48</v>
      </c>
      <c r="E53" s="43" t="s">
        <v>84</v>
      </c>
      <c r="F53" s="182"/>
      <c r="G53" s="182"/>
      <c r="H53" s="182"/>
      <c r="I53" s="182"/>
      <c r="J53" s="21">
        <f t="shared" si="0"/>
        <v>0</v>
      </c>
      <c r="K53" s="182"/>
      <c r="L53" s="182"/>
      <c r="M53" s="182"/>
      <c r="N53" s="182"/>
      <c r="O53" s="182"/>
      <c r="P53" s="21">
        <f t="shared" si="1"/>
        <v>0</v>
      </c>
      <c r="Q53" s="182"/>
      <c r="R53" s="182"/>
      <c r="S53" s="183"/>
      <c r="T53" s="183"/>
      <c r="U53" s="182"/>
      <c r="V53" s="182"/>
      <c r="W53" s="22"/>
      <c r="X53" s="22">
        <f t="shared" si="2"/>
        <v>0</v>
      </c>
      <c r="Y53" s="46"/>
      <c r="Z53" s="94"/>
    </row>
    <row r="54" spans="1:26" ht="63">
      <c r="A54" s="498"/>
      <c r="B54" s="498"/>
      <c r="C54" s="498"/>
      <c r="D54" s="43">
        <v>49</v>
      </c>
      <c r="E54" s="43" t="s">
        <v>85</v>
      </c>
      <c r="F54" s="182"/>
      <c r="G54" s="182"/>
      <c r="H54" s="182"/>
      <c r="I54" s="182"/>
      <c r="J54" s="21">
        <f t="shared" si="0"/>
        <v>0</v>
      </c>
      <c r="K54" s="182"/>
      <c r="L54" s="182"/>
      <c r="M54" s="182"/>
      <c r="N54" s="182"/>
      <c r="O54" s="182"/>
      <c r="P54" s="21">
        <f t="shared" si="1"/>
        <v>0</v>
      </c>
      <c r="Q54" s="182"/>
      <c r="R54" s="182"/>
      <c r="S54" s="182"/>
      <c r="T54" s="182"/>
      <c r="U54" s="182"/>
      <c r="V54" s="182"/>
      <c r="W54" s="22"/>
      <c r="X54" s="22">
        <f t="shared" si="2"/>
        <v>0</v>
      </c>
      <c r="Y54" s="46"/>
      <c r="Z54" s="94"/>
    </row>
    <row r="55" spans="1:26" ht="47.25">
      <c r="A55" s="498"/>
      <c r="B55" s="498"/>
      <c r="C55" s="498"/>
      <c r="D55" s="43">
        <v>50</v>
      </c>
      <c r="E55" s="43" t="s">
        <v>86</v>
      </c>
      <c r="F55" s="182"/>
      <c r="G55" s="182"/>
      <c r="H55" s="182"/>
      <c r="I55" s="182"/>
      <c r="J55" s="21">
        <f t="shared" si="0"/>
        <v>0</v>
      </c>
      <c r="K55" s="184"/>
      <c r="L55" s="184"/>
      <c r="M55" s="182"/>
      <c r="N55" s="94"/>
      <c r="O55" s="182"/>
      <c r="P55" s="21">
        <f t="shared" si="1"/>
        <v>0</v>
      </c>
      <c r="Q55" s="182"/>
      <c r="R55" s="182"/>
      <c r="S55" s="183"/>
      <c r="T55" s="183"/>
      <c r="U55" s="182"/>
      <c r="V55" s="182"/>
      <c r="W55" s="22"/>
      <c r="X55" s="22">
        <f t="shared" si="2"/>
        <v>0</v>
      </c>
      <c r="Y55" s="46"/>
      <c r="Z55" s="94"/>
    </row>
    <row r="56" spans="1:26" ht="47.25" hidden="1">
      <c r="A56" s="498"/>
      <c r="B56" s="496"/>
      <c r="C56" s="496"/>
      <c r="D56" s="43">
        <v>51</v>
      </c>
      <c r="E56" s="43" t="s">
        <v>44</v>
      </c>
      <c r="F56" s="182"/>
      <c r="G56" s="182"/>
      <c r="H56" s="182"/>
      <c r="I56" s="182"/>
      <c r="J56" s="21">
        <f t="shared" si="0"/>
        <v>0</v>
      </c>
      <c r="K56" s="182"/>
      <c r="L56" s="182"/>
      <c r="M56" s="182"/>
      <c r="N56" s="182"/>
      <c r="O56" s="182"/>
      <c r="P56" s="21">
        <f t="shared" si="1"/>
        <v>0</v>
      </c>
      <c r="Q56" s="182"/>
      <c r="R56" s="182"/>
      <c r="S56" s="182"/>
      <c r="T56" s="182"/>
      <c r="U56" s="182"/>
      <c r="V56" s="182"/>
      <c r="W56" s="22"/>
      <c r="X56" s="22">
        <f t="shared" si="2"/>
        <v>0</v>
      </c>
      <c r="Y56" s="46"/>
      <c r="Z56" s="94"/>
    </row>
    <row r="57" spans="1:26" ht="31.5">
      <c r="A57" s="498"/>
      <c r="B57" s="497" t="s">
        <v>87</v>
      </c>
      <c r="C57" s="497" t="s">
        <v>88</v>
      </c>
      <c r="D57" s="43">
        <v>52</v>
      </c>
      <c r="E57" s="43" t="s">
        <v>89</v>
      </c>
      <c r="F57" s="182"/>
      <c r="G57" s="182"/>
      <c r="H57" s="182"/>
      <c r="I57" s="182"/>
      <c r="J57" s="21">
        <f t="shared" si="0"/>
        <v>0</v>
      </c>
      <c r="K57" s="184"/>
      <c r="L57" s="184"/>
      <c r="M57" s="182"/>
      <c r="N57" s="182"/>
      <c r="O57" s="184"/>
      <c r="P57" s="22">
        <f t="shared" si="1"/>
        <v>0</v>
      </c>
      <c r="Q57" s="182"/>
      <c r="R57" s="182"/>
      <c r="S57" s="182"/>
      <c r="T57" s="182"/>
      <c r="U57" s="182"/>
      <c r="V57" s="182"/>
      <c r="W57" s="22"/>
      <c r="X57" s="22">
        <f t="shared" si="2"/>
        <v>0</v>
      </c>
      <c r="Y57" s="46"/>
      <c r="Z57" s="94"/>
    </row>
    <row r="58" spans="1:26" ht="31.5">
      <c r="A58" s="498"/>
      <c r="B58" s="498"/>
      <c r="C58" s="498"/>
      <c r="D58" s="43">
        <v>53</v>
      </c>
      <c r="E58" s="43" t="s">
        <v>90</v>
      </c>
      <c r="F58" s="182"/>
      <c r="G58" s="182"/>
      <c r="H58" s="182"/>
      <c r="I58" s="182"/>
      <c r="J58" s="21">
        <f t="shared" si="0"/>
        <v>0</v>
      </c>
      <c r="K58" s="182"/>
      <c r="L58" s="182"/>
      <c r="M58" s="182"/>
      <c r="N58" s="182"/>
      <c r="O58" s="184"/>
      <c r="P58" s="22">
        <f t="shared" si="1"/>
        <v>0</v>
      </c>
      <c r="Q58" s="182"/>
      <c r="R58" s="182"/>
      <c r="S58" s="182"/>
      <c r="T58" s="182"/>
      <c r="U58" s="182"/>
      <c r="V58" s="182"/>
      <c r="W58" s="22"/>
      <c r="X58" s="22">
        <f t="shared" si="2"/>
        <v>0</v>
      </c>
      <c r="Y58" s="211"/>
      <c r="Z58" s="94"/>
    </row>
    <row r="59" spans="1:26" ht="141.75">
      <c r="A59" s="498"/>
      <c r="B59" s="498"/>
      <c r="C59" s="498"/>
      <c r="D59" s="43">
        <v>54</v>
      </c>
      <c r="E59" s="43" t="s">
        <v>91</v>
      </c>
      <c r="F59" s="182"/>
      <c r="G59" s="182"/>
      <c r="H59" s="182"/>
      <c r="I59" s="183"/>
      <c r="J59" s="48">
        <f t="shared" si="0"/>
        <v>0</v>
      </c>
      <c r="K59" s="182"/>
      <c r="L59" s="182"/>
      <c r="M59" s="182"/>
      <c r="N59" s="182"/>
      <c r="O59" s="182"/>
      <c r="P59" s="21">
        <f t="shared" si="1"/>
        <v>0</v>
      </c>
      <c r="Q59" s="182"/>
      <c r="R59" s="182"/>
      <c r="S59" s="183"/>
      <c r="T59" s="183">
        <v>2</v>
      </c>
      <c r="U59" s="47"/>
      <c r="V59" s="182"/>
      <c r="W59" s="22"/>
      <c r="X59" s="22">
        <f t="shared" si="2"/>
        <v>2</v>
      </c>
      <c r="Y59" s="46" t="s">
        <v>806</v>
      </c>
      <c r="Z59" s="94"/>
    </row>
    <row r="60" spans="1:26" ht="47.25">
      <c r="A60" s="498"/>
      <c r="B60" s="498"/>
      <c r="C60" s="498"/>
      <c r="D60" s="43">
        <v>55</v>
      </c>
      <c r="E60" s="43" t="s">
        <v>93</v>
      </c>
      <c r="F60" s="182"/>
      <c r="G60" s="182"/>
      <c r="H60" s="182"/>
      <c r="I60" s="182"/>
      <c r="J60" s="21">
        <f t="shared" si="0"/>
        <v>0</v>
      </c>
      <c r="K60" s="182"/>
      <c r="L60" s="182"/>
      <c r="M60" s="182"/>
      <c r="N60" s="182"/>
      <c r="O60" s="184"/>
      <c r="P60" s="22">
        <f t="shared" si="1"/>
        <v>0</v>
      </c>
      <c r="Q60" s="182"/>
      <c r="R60" s="182"/>
      <c r="S60" s="182"/>
      <c r="T60" s="182"/>
      <c r="U60" s="182"/>
      <c r="V60" s="182"/>
      <c r="W60" s="22"/>
      <c r="X60" s="22">
        <f t="shared" si="2"/>
        <v>0</v>
      </c>
      <c r="Y60" s="46"/>
      <c r="Z60" s="94"/>
    </row>
    <row r="61" spans="1:26" ht="47.25">
      <c r="A61" s="498"/>
      <c r="B61" s="498"/>
      <c r="C61" s="498"/>
      <c r="D61" s="43">
        <v>56</v>
      </c>
      <c r="E61" s="43" t="s">
        <v>94</v>
      </c>
      <c r="F61" s="182"/>
      <c r="G61" s="182"/>
      <c r="H61" s="182"/>
      <c r="I61" s="182"/>
      <c r="J61" s="21">
        <f t="shared" si="0"/>
        <v>0</v>
      </c>
      <c r="K61" s="182"/>
      <c r="L61" s="182"/>
      <c r="M61" s="182"/>
      <c r="N61" s="182"/>
      <c r="O61" s="182"/>
      <c r="P61" s="21">
        <f t="shared" si="1"/>
        <v>0</v>
      </c>
      <c r="Q61" s="182"/>
      <c r="R61" s="182"/>
      <c r="S61" s="182"/>
      <c r="T61" s="182"/>
      <c r="U61" s="182"/>
      <c r="V61" s="182"/>
      <c r="W61" s="22"/>
      <c r="X61" s="22">
        <f t="shared" si="2"/>
        <v>0</v>
      </c>
      <c r="Y61" s="46"/>
      <c r="Z61" s="94"/>
    </row>
    <row r="62" spans="1:26" ht="47.25">
      <c r="A62" s="498"/>
      <c r="B62" s="498"/>
      <c r="C62" s="498"/>
      <c r="D62" s="43">
        <v>57</v>
      </c>
      <c r="E62" s="43" t="s">
        <v>95</v>
      </c>
      <c r="F62" s="182"/>
      <c r="G62" s="182"/>
      <c r="H62" s="182"/>
      <c r="I62" s="183"/>
      <c r="J62" s="48">
        <f t="shared" si="0"/>
        <v>0</v>
      </c>
      <c r="K62" s="182"/>
      <c r="L62" s="182"/>
      <c r="M62" s="182"/>
      <c r="N62" s="182"/>
      <c r="O62" s="182"/>
      <c r="P62" s="21">
        <f t="shared" si="1"/>
        <v>0</v>
      </c>
      <c r="Q62" s="183"/>
      <c r="R62" s="183"/>
      <c r="S62" s="182"/>
      <c r="T62" s="182"/>
      <c r="U62" s="182"/>
      <c r="V62" s="182"/>
      <c r="W62" s="22"/>
      <c r="X62" s="22">
        <f t="shared" si="2"/>
        <v>0</v>
      </c>
      <c r="Y62" s="211"/>
      <c r="Z62" s="94"/>
    </row>
    <row r="63" spans="1:26" ht="63">
      <c r="A63" s="498"/>
      <c r="B63" s="498"/>
      <c r="C63" s="498"/>
      <c r="D63" s="43">
        <v>58</v>
      </c>
      <c r="E63" s="43" t="s">
        <v>97</v>
      </c>
      <c r="F63" s="182"/>
      <c r="G63" s="182"/>
      <c r="H63" s="182"/>
      <c r="I63" s="182"/>
      <c r="J63" s="21">
        <f t="shared" si="0"/>
        <v>0</v>
      </c>
      <c r="K63" s="182"/>
      <c r="L63" s="182"/>
      <c r="M63" s="182"/>
      <c r="N63" s="182"/>
      <c r="O63" s="184"/>
      <c r="P63" s="22">
        <f t="shared" si="1"/>
        <v>0</v>
      </c>
      <c r="Q63" s="182"/>
      <c r="R63" s="182"/>
      <c r="S63" s="182"/>
      <c r="T63" s="182"/>
      <c r="U63" s="182"/>
      <c r="V63" s="182"/>
      <c r="W63" s="22"/>
      <c r="X63" s="22">
        <f t="shared" si="2"/>
        <v>0</v>
      </c>
      <c r="Y63" s="211"/>
      <c r="Z63" s="94"/>
    </row>
    <row r="64" spans="1:26" ht="31.5">
      <c r="A64" s="498"/>
      <c r="B64" s="498"/>
      <c r="C64" s="498"/>
      <c r="D64" s="43">
        <v>59</v>
      </c>
      <c r="E64" s="43" t="s">
        <v>98</v>
      </c>
      <c r="F64" s="182"/>
      <c r="G64" s="182"/>
      <c r="H64" s="182"/>
      <c r="I64" s="182"/>
      <c r="J64" s="21">
        <f t="shared" si="0"/>
        <v>0</v>
      </c>
      <c r="K64" s="182"/>
      <c r="L64" s="182"/>
      <c r="M64" s="182"/>
      <c r="N64" s="182"/>
      <c r="O64" s="182"/>
      <c r="P64" s="21">
        <f t="shared" si="1"/>
        <v>0</v>
      </c>
      <c r="Q64" s="182"/>
      <c r="R64" s="182"/>
      <c r="S64" s="182"/>
      <c r="T64" s="182"/>
      <c r="U64" s="182"/>
      <c r="V64" s="182"/>
      <c r="W64" s="22"/>
      <c r="X64" s="22">
        <f t="shared" si="2"/>
        <v>0</v>
      </c>
      <c r="Y64" s="46"/>
      <c r="Z64" s="94"/>
    </row>
    <row r="65" spans="1:26" ht="31.5">
      <c r="A65" s="498"/>
      <c r="B65" s="498"/>
      <c r="C65" s="498"/>
      <c r="D65" s="43">
        <v>60</v>
      </c>
      <c r="E65" s="43" t="s">
        <v>99</v>
      </c>
      <c r="F65" s="182"/>
      <c r="G65" s="182"/>
      <c r="H65" s="182"/>
      <c r="I65" s="182"/>
      <c r="J65" s="21">
        <f t="shared" si="0"/>
        <v>0</v>
      </c>
      <c r="K65" s="182"/>
      <c r="L65" s="182"/>
      <c r="M65" s="182"/>
      <c r="N65" s="182"/>
      <c r="O65" s="182"/>
      <c r="P65" s="21">
        <f t="shared" si="1"/>
        <v>0</v>
      </c>
      <c r="Q65" s="182"/>
      <c r="R65" s="182"/>
      <c r="S65" s="182"/>
      <c r="T65" s="182"/>
      <c r="U65" s="182"/>
      <c r="V65" s="182"/>
      <c r="W65" s="22"/>
      <c r="X65" s="22">
        <f t="shared" si="2"/>
        <v>0</v>
      </c>
      <c r="Y65" s="46"/>
      <c r="Z65" s="94"/>
    </row>
    <row r="66" spans="1:26" ht="47.25" hidden="1">
      <c r="A66" s="498"/>
      <c r="B66" s="496"/>
      <c r="C66" s="496"/>
      <c r="D66" s="43">
        <v>61</v>
      </c>
      <c r="E66" s="43" t="s">
        <v>44</v>
      </c>
      <c r="F66" s="182"/>
      <c r="G66" s="182"/>
      <c r="H66" s="182"/>
      <c r="I66" s="182"/>
      <c r="J66" s="21">
        <f t="shared" si="0"/>
        <v>0</v>
      </c>
      <c r="K66" s="182"/>
      <c r="L66" s="182"/>
      <c r="M66" s="182"/>
      <c r="N66" s="182"/>
      <c r="O66" s="182"/>
      <c r="P66" s="21">
        <f t="shared" si="1"/>
        <v>0</v>
      </c>
      <c r="Q66" s="182"/>
      <c r="R66" s="182"/>
      <c r="S66" s="182"/>
      <c r="T66" s="182"/>
      <c r="U66" s="182"/>
      <c r="V66" s="182"/>
      <c r="W66" s="22"/>
      <c r="X66" s="22">
        <f t="shared" si="2"/>
        <v>0</v>
      </c>
      <c r="Y66" s="46"/>
      <c r="Z66" s="94"/>
    </row>
    <row r="67" spans="1:26" ht="204.75">
      <c r="A67" s="498"/>
      <c r="B67" s="43" t="s">
        <v>100</v>
      </c>
      <c r="C67" s="43" t="s">
        <v>101</v>
      </c>
      <c r="D67" s="43">
        <v>62</v>
      </c>
      <c r="E67" s="43" t="s">
        <v>102</v>
      </c>
      <c r="F67" s="182"/>
      <c r="G67" s="182"/>
      <c r="H67" s="182"/>
      <c r="I67" s="182"/>
      <c r="J67" s="21">
        <f t="shared" si="0"/>
        <v>0</v>
      </c>
      <c r="K67" s="182"/>
      <c r="L67" s="182"/>
      <c r="M67" s="182"/>
      <c r="N67" s="182"/>
      <c r="O67" s="182"/>
      <c r="P67" s="21">
        <f t="shared" si="1"/>
        <v>0</v>
      </c>
      <c r="Q67" s="184"/>
      <c r="R67" s="184"/>
      <c r="S67" s="183"/>
      <c r="T67" s="183"/>
      <c r="U67" s="183"/>
      <c r="V67" s="183"/>
      <c r="W67" s="22"/>
      <c r="X67" s="22">
        <f t="shared" si="2"/>
        <v>0</v>
      </c>
      <c r="Y67" s="61"/>
      <c r="Z67" s="94"/>
    </row>
    <row r="68" spans="1:26" ht="15.75">
      <c r="A68" s="496"/>
      <c r="B68" s="500" t="s">
        <v>103</v>
      </c>
      <c r="C68" s="489"/>
      <c r="D68" s="490"/>
      <c r="E68" s="59"/>
      <c r="F68" s="60">
        <f t="shared" ref="F68:W68" si="3">SUM(F6:F67)</f>
        <v>27.807449999999999</v>
      </c>
      <c r="G68" s="60">
        <f t="shared" si="3"/>
        <v>0</v>
      </c>
      <c r="H68" s="60">
        <f t="shared" si="3"/>
        <v>0</v>
      </c>
      <c r="I68" s="60">
        <f t="shared" si="3"/>
        <v>0</v>
      </c>
      <c r="J68" s="60">
        <f t="shared" si="3"/>
        <v>0</v>
      </c>
      <c r="K68" s="60">
        <f t="shared" si="3"/>
        <v>0</v>
      </c>
      <c r="L68" s="60">
        <f t="shared" si="3"/>
        <v>4.05</v>
      </c>
      <c r="M68" s="60">
        <f t="shared" si="3"/>
        <v>0</v>
      </c>
      <c r="N68" s="60">
        <f t="shared" si="3"/>
        <v>0</v>
      </c>
      <c r="O68" s="60">
        <f t="shared" si="3"/>
        <v>27.1357</v>
      </c>
      <c r="P68" s="60">
        <f t="shared" si="3"/>
        <v>27.1357</v>
      </c>
      <c r="Q68" s="60">
        <f t="shared" si="3"/>
        <v>0</v>
      </c>
      <c r="R68" s="60">
        <f t="shared" si="3"/>
        <v>33.683700000000002</v>
      </c>
      <c r="S68" s="60">
        <f t="shared" si="3"/>
        <v>0</v>
      </c>
      <c r="T68" s="60">
        <f t="shared" si="3"/>
        <v>251.83645000000001</v>
      </c>
      <c r="U68" s="60">
        <f t="shared" si="3"/>
        <v>0</v>
      </c>
      <c r="V68" s="60">
        <f t="shared" si="3"/>
        <v>0</v>
      </c>
      <c r="W68" s="60">
        <f t="shared" si="3"/>
        <v>0</v>
      </c>
      <c r="X68" s="22">
        <f t="shared" si="2"/>
        <v>344.51330000000002</v>
      </c>
      <c r="Y68" s="61"/>
      <c r="Z68" s="94"/>
    </row>
    <row r="69" spans="1:26" ht="81.75" customHeight="1">
      <c r="A69" s="499" t="s">
        <v>104</v>
      </c>
      <c r="B69" s="43" t="s">
        <v>105</v>
      </c>
      <c r="C69" s="43" t="s">
        <v>106</v>
      </c>
      <c r="D69" s="43">
        <v>63</v>
      </c>
      <c r="E69" s="43" t="s">
        <v>107</v>
      </c>
      <c r="F69" s="182"/>
      <c r="G69" s="182"/>
      <c r="H69" s="182"/>
      <c r="I69" s="182"/>
      <c r="J69" s="21">
        <f t="shared" ref="J69:J79" si="4">H69+I69</f>
        <v>0</v>
      </c>
      <c r="K69" s="182"/>
      <c r="L69" s="182"/>
      <c r="M69" s="182"/>
      <c r="N69" s="182"/>
      <c r="O69" s="182"/>
      <c r="P69" s="21">
        <f t="shared" ref="P69:P78" si="5">N69+O69</f>
        <v>0</v>
      </c>
      <c r="Q69" s="183"/>
      <c r="R69" s="183"/>
      <c r="S69" s="184"/>
      <c r="T69" s="184"/>
      <c r="U69" s="48"/>
      <c r="V69" s="48">
        <v>0.5</v>
      </c>
      <c r="X69" s="22">
        <f t="shared" si="2"/>
        <v>0.5</v>
      </c>
      <c r="Y69" s="355" t="s">
        <v>400</v>
      </c>
      <c r="Z69" s="94"/>
    </row>
    <row r="70" spans="1:26" ht="236.25">
      <c r="A70" s="498"/>
      <c r="B70" s="497" t="s">
        <v>108</v>
      </c>
      <c r="C70" s="497" t="s">
        <v>109</v>
      </c>
      <c r="D70" s="43">
        <v>64</v>
      </c>
      <c r="E70" s="43" t="s">
        <v>110</v>
      </c>
      <c r="F70" s="182"/>
      <c r="G70" s="182"/>
      <c r="H70" s="182"/>
      <c r="I70" s="183"/>
      <c r="J70" s="48">
        <f t="shared" si="4"/>
        <v>0</v>
      </c>
      <c r="K70" s="184"/>
      <c r="L70" s="184">
        <v>0</v>
      </c>
      <c r="M70" s="182"/>
      <c r="N70" s="182"/>
      <c r="O70" s="184">
        <v>0.05</v>
      </c>
      <c r="P70" s="22">
        <f t="shared" si="5"/>
        <v>0.05</v>
      </c>
      <c r="Q70" s="182"/>
      <c r="R70" s="182"/>
      <c r="S70" s="184"/>
      <c r="T70" s="184">
        <v>0.7</v>
      </c>
      <c r="U70" s="195"/>
      <c r="V70" s="183">
        <v>0</v>
      </c>
      <c r="W70" s="22"/>
      <c r="X70" s="22">
        <f t="shared" si="2"/>
        <v>0.75</v>
      </c>
      <c r="Y70" s="61" t="s">
        <v>1051</v>
      </c>
      <c r="Z70" s="94"/>
    </row>
    <row r="71" spans="1:26" ht="29.25" customHeight="1">
      <c r="A71" s="498"/>
      <c r="B71" s="498"/>
      <c r="C71" s="498"/>
      <c r="D71" s="43">
        <v>65</v>
      </c>
      <c r="E71" s="43" t="s">
        <v>111</v>
      </c>
      <c r="F71" s="182"/>
      <c r="G71" s="182"/>
      <c r="H71" s="182"/>
      <c r="I71" s="182"/>
      <c r="J71" s="21">
        <f t="shared" si="4"/>
        <v>0</v>
      </c>
      <c r="K71" s="182"/>
      <c r="L71" s="182"/>
      <c r="M71" s="182"/>
      <c r="N71" s="182"/>
      <c r="O71" s="182"/>
      <c r="P71" s="21">
        <f t="shared" si="5"/>
        <v>0</v>
      </c>
      <c r="Q71" s="182"/>
      <c r="R71" s="182"/>
      <c r="S71" s="183"/>
      <c r="T71" s="183">
        <v>0.25</v>
      </c>
      <c r="U71" s="183"/>
      <c r="V71" s="183"/>
      <c r="W71" s="22"/>
      <c r="X71" s="22">
        <f t="shared" si="2"/>
        <v>0.25</v>
      </c>
      <c r="Y71" s="61" t="s">
        <v>1052</v>
      </c>
      <c r="Z71" s="94"/>
    </row>
    <row r="72" spans="1:26" ht="126">
      <c r="A72" s="498"/>
      <c r="B72" s="498"/>
      <c r="C72" s="498"/>
      <c r="D72" s="43">
        <v>66</v>
      </c>
      <c r="E72" s="43" t="s">
        <v>112</v>
      </c>
      <c r="F72" s="182"/>
      <c r="G72" s="182"/>
      <c r="H72" s="182"/>
      <c r="I72" s="182"/>
      <c r="J72" s="21">
        <f t="shared" si="4"/>
        <v>0</v>
      </c>
      <c r="K72" s="182"/>
      <c r="L72" s="182"/>
      <c r="M72" s="182"/>
      <c r="N72" s="182"/>
      <c r="O72" s="184"/>
      <c r="P72" s="22">
        <f t="shared" si="5"/>
        <v>0</v>
      </c>
      <c r="Q72" s="182"/>
      <c r="R72" s="182"/>
      <c r="S72" s="183"/>
      <c r="T72" s="183">
        <v>0.09</v>
      </c>
      <c r="U72" s="182"/>
      <c r="V72" s="182"/>
      <c r="W72" s="22"/>
      <c r="X72" s="22">
        <f t="shared" si="2"/>
        <v>0.09</v>
      </c>
      <c r="Y72" s="61" t="s">
        <v>1053</v>
      </c>
      <c r="Z72" s="94"/>
    </row>
    <row r="73" spans="1:26" ht="204.75">
      <c r="A73" s="498"/>
      <c r="B73" s="498"/>
      <c r="C73" s="498"/>
      <c r="D73" s="43">
        <v>67</v>
      </c>
      <c r="E73" s="43" t="s">
        <v>113</v>
      </c>
      <c r="F73" s="182"/>
      <c r="G73" s="182"/>
      <c r="H73" s="182"/>
      <c r="I73" s="182"/>
      <c r="J73" s="21">
        <f t="shared" si="4"/>
        <v>0</v>
      </c>
      <c r="K73" s="182"/>
      <c r="L73" s="182"/>
      <c r="M73" s="182"/>
      <c r="N73" s="182"/>
      <c r="O73" s="184"/>
      <c r="P73" s="22">
        <f t="shared" si="5"/>
        <v>0</v>
      </c>
      <c r="Q73" s="182"/>
      <c r="R73" s="182"/>
      <c r="S73" s="183"/>
      <c r="T73" s="183">
        <v>15.37</v>
      </c>
      <c r="U73" s="183"/>
      <c r="V73" s="183">
        <v>1</v>
      </c>
      <c r="W73" s="22"/>
      <c r="X73" s="22">
        <f t="shared" si="2"/>
        <v>16.369999999999997</v>
      </c>
      <c r="Y73" s="61" t="s">
        <v>1070</v>
      </c>
      <c r="Z73" s="94"/>
    </row>
    <row r="74" spans="1:26" ht="55.5" customHeight="1">
      <c r="A74" s="498"/>
      <c r="B74" s="496"/>
      <c r="C74" s="496"/>
      <c r="D74" s="43">
        <v>68</v>
      </c>
      <c r="E74" s="43" t="s">
        <v>114</v>
      </c>
      <c r="F74" s="183"/>
      <c r="G74" s="182"/>
      <c r="H74" s="182"/>
      <c r="I74" s="182"/>
      <c r="J74" s="21">
        <f t="shared" si="4"/>
        <v>0</v>
      </c>
      <c r="K74" s="184"/>
      <c r="L74" s="184"/>
      <c r="M74" s="182"/>
      <c r="N74" s="182"/>
      <c r="O74" s="184"/>
      <c r="P74" s="22">
        <f t="shared" si="5"/>
        <v>0</v>
      </c>
      <c r="Q74" s="182"/>
      <c r="R74" s="182"/>
      <c r="S74" s="183"/>
      <c r="T74" s="183">
        <v>0.14000000000000001</v>
      </c>
      <c r="U74" s="183"/>
      <c r="V74" s="183"/>
      <c r="W74" s="22"/>
      <c r="X74" s="22">
        <f t="shared" si="2"/>
        <v>0.14000000000000001</v>
      </c>
      <c r="Y74" s="61" t="s">
        <v>1071</v>
      </c>
      <c r="Z74" s="94"/>
    </row>
    <row r="75" spans="1:26" ht="409.5">
      <c r="A75" s="498"/>
      <c r="B75" s="497" t="s">
        <v>115</v>
      </c>
      <c r="C75" s="497" t="s">
        <v>116</v>
      </c>
      <c r="D75" s="43">
        <v>69</v>
      </c>
      <c r="E75" s="43" t="s">
        <v>117</v>
      </c>
      <c r="F75" s="196"/>
      <c r="G75" s="196"/>
      <c r="H75" s="196"/>
      <c r="I75" s="196"/>
      <c r="J75" s="21">
        <f t="shared" si="4"/>
        <v>0</v>
      </c>
      <c r="K75" s="196"/>
      <c r="L75" s="196"/>
      <c r="M75" s="196"/>
      <c r="N75" s="196"/>
      <c r="O75" s="196"/>
      <c r="P75" s="21">
        <f t="shared" si="5"/>
        <v>0</v>
      </c>
      <c r="Q75" s="197"/>
      <c r="R75" s="197">
        <v>0.2</v>
      </c>
      <c r="S75" s="197"/>
      <c r="T75" s="197">
        <f>0.6+18.84+0.942+0.24+0.283+0.094+0.3+8.9</f>
        <v>30.199000000000005</v>
      </c>
      <c r="U75" s="196"/>
      <c r="V75" s="196"/>
      <c r="W75" s="22"/>
      <c r="X75" s="22">
        <f t="shared" si="2"/>
        <v>30.399000000000004</v>
      </c>
      <c r="Y75" s="224" t="s">
        <v>1048</v>
      </c>
      <c r="Z75" s="94"/>
    </row>
    <row r="76" spans="1:26" ht="204.75">
      <c r="A76" s="498"/>
      <c r="B76" s="498"/>
      <c r="C76" s="498"/>
      <c r="D76" s="43">
        <v>70</v>
      </c>
      <c r="E76" s="43" t="s">
        <v>118</v>
      </c>
      <c r="F76" s="197"/>
      <c r="G76" s="196"/>
      <c r="H76" s="196"/>
      <c r="I76" s="196"/>
      <c r="J76" s="21">
        <f t="shared" si="4"/>
        <v>0</v>
      </c>
      <c r="K76" s="198"/>
      <c r="L76" s="198">
        <v>5.3999999999999999E-2</v>
      </c>
      <c r="M76" s="196"/>
      <c r="N76" s="196"/>
      <c r="O76" s="196"/>
      <c r="P76" s="21">
        <f t="shared" si="5"/>
        <v>0</v>
      </c>
      <c r="Q76" s="196"/>
      <c r="R76" s="196"/>
      <c r="S76" s="197"/>
      <c r="T76" s="197">
        <v>1.1000000000000001</v>
      </c>
      <c r="U76" s="196"/>
      <c r="V76" s="196"/>
      <c r="W76" s="22"/>
      <c r="X76" s="22">
        <f t="shared" si="2"/>
        <v>1.1540000000000001</v>
      </c>
      <c r="Y76" s="224" t="s">
        <v>925</v>
      </c>
      <c r="Z76" s="94"/>
    </row>
    <row r="77" spans="1:26" ht="15.75">
      <c r="A77" s="498"/>
      <c r="B77" s="498"/>
      <c r="C77" s="498"/>
      <c r="D77" s="43">
        <v>71</v>
      </c>
      <c r="E77" s="43" t="s">
        <v>119</v>
      </c>
      <c r="F77" s="196"/>
      <c r="G77" s="196"/>
      <c r="H77" s="196"/>
      <c r="I77" s="196"/>
      <c r="J77" s="21">
        <f t="shared" si="4"/>
        <v>0</v>
      </c>
      <c r="K77" s="196"/>
      <c r="L77" s="196"/>
      <c r="M77" s="196"/>
      <c r="N77" s="196"/>
      <c r="O77" s="196"/>
      <c r="P77" s="21">
        <f t="shared" si="5"/>
        <v>0</v>
      </c>
      <c r="Q77" s="196"/>
      <c r="R77" s="196"/>
      <c r="S77" s="196"/>
      <c r="T77" s="196"/>
      <c r="U77" s="196"/>
      <c r="V77" s="196"/>
      <c r="W77" s="22"/>
      <c r="X77" s="22">
        <f t="shared" si="2"/>
        <v>0</v>
      </c>
      <c r="Y77" s="61"/>
      <c r="Z77" s="94"/>
    </row>
    <row r="78" spans="1:26" ht="31.5">
      <c r="A78" s="498"/>
      <c r="B78" s="496"/>
      <c r="C78" s="496"/>
      <c r="D78" s="43">
        <v>72</v>
      </c>
      <c r="E78" s="43" t="s">
        <v>120</v>
      </c>
      <c r="F78" s="196"/>
      <c r="G78" s="196"/>
      <c r="H78" s="196"/>
      <c r="I78" s="199"/>
      <c r="J78" s="21">
        <f t="shared" si="4"/>
        <v>0</v>
      </c>
      <c r="K78" s="199"/>
      <c r="L78" s="199"/>
      <c r="M78" s="199"/>
      <c r="N78" s="199"/>
      <c r="O78" s="200"/>
      <c r="P78" s="66">
        <f t="shared" si="5"/>
        <v>0</v>
      </c>
      <c r="Q78" s="201"/>
      <c r="R78" s="201"/>
      <c r="S78" s="48"/>
      <c r="T78" s="48"/>
      <c r="U78" s="199"/>
      <c r="V78" s="199"/>
      <c r="W78" s="22"/>
      <c r="X78" s="22">
        <f t="shared" si="2"/>
        <v>0</v>
      </c>
      <c r="Y78" s="61"/>
      <c r="Z78" s="94"/>
    </row>
    <row r="79" spans="1:26" ht="409.5">
      <c r="A79" s="498"/>
      <c r="B79" s="497" t="s">
        <v>121</v>
      </c>
      <c r="C79" s="497" t="s">
        <v>122</v>
      </c>
      <c r="D79" s="43">
        <v>73</v>
      </c>
      <c r="E79" s="43" t="s">
        <v>123</v>
      </c>
      <c r="F79" s="202">
        <v>2.8</v>
      </c>
      <c r="G79" s="202"/>
      <c r="H79" s="202"/>
      <c r="I79" s="202">
        <v>0.4</v>
      </c>
      <c r="J79" s="68">
        <f t="shared" si="4"/>
        <v>0.4</v>
      </c>
      <c r="K79" s="202"/>
      <c r="L79" s="202">
        <v>1.4</v>
      </c>
      <c r="M79" s="202"/>
      <c r="N79" s="202"/>
      <c r="O79" s="202">
        <v>2.8</v>
      </c>
      <c r="P79" s="203">
        <f>O79</f>
        <v>2.8</v>
      </c>
      <c r="Q79" s="202"/>
      <c r="R79" s="202">
        <v>9</v>
      </c>
      <c r="S79" s="202"/>
      <c r="T79" s="202">
        <v>1</v>
      </c>
      <c r="U79" s="202"/>
      <c r="V79" s="202">
        <v>0.5</v>
      </c>
      <c r="W79" s="22"/>
      <c r="X79" s="22">
        <f t="shared" si="2"/>
        <v>17.899999999999999</v>
      </c>
      <c r="Y79" s="46" t="s">
        <v>1134</v>
      </c>
      <c r="Z79" s="94"/>
    </row>
    <row r="80" spans="1:26" ht="121.5" customHeight="1">
      <c r="A80" s="498"/>
      <c r="B80" s="498"/>
      <c r="C80" s="498"/>
      <c r="D80" s="43">
        <v>74</v>
      </c>
      <c r="E80" s="43" t="s">
        <v>124</v>
      </c>
      <c r="F80" s="202">
        <v>56.6</v>
      </c>
      <c r="G80" s="202"/>
      <c r="H80" s="202"/>
      <c r="I80" s="204"/>
      <c r="J80" s="197"/>
      <c r="K80" s="204"/>
      <c r="L80" s="204">
        <v>0</v>
      </c>
      <c r="M80" s="204"/>
      <c r="N80" s="204"/>
      <c r="O80" s="204"/>
      <c r="P80" s="197">
        <v>0</v>
      </c>
      <c r="Q80" s="204"/>
      <c r="R80" s="204"/>
      <c r="S80" s="204"/>
      <c r="T80" s="204"/>
      <c r="U80" s="204"/>
      <c r="V80" s="204"/>
      <c r="W80" s="22"/>
      <c r="X80" s="22">
        <f t="shared" si="2"/>
        <v>56.6</v>
      </c>
      <c r="Y80" s="46" t="s">
        <v>1135</v>
      </c>
      <c r="Z80" s="94"/>
    </row>
    <row r="81" spans="1:26" ht="267.75">
      <c r="A81" s="498"/>
      <c r="B81" s="498"/>
      <c r="C81" s="498"/>
      <c r="D81" s="43">
        <v>75</v>
      </c>
      <c r="E81" s="43" t="s">
        <v>125</v>
      </c>
      <c r="F81" s="202">
        <v>1.2</v>
      </c>
      <c r="G81" s="202"/>
      <c r="H81" s="202"/>
      <c r="I81" s="204"/>
      <c r="J81" s="197"/>
      <c r="K81" s="204"/>
      <c r="L81" s="204">
        <v>0</v>
      </c>
      <c r="M81" s="204"/>
      <c r="N81" s="204"/>
      <c r="O81" s="204"/>
      <c r="P81" s="197">
        <v>0</v>
      </c>
      <c r="Q81" s="204"/>
      <c r="R81" s="204"/>
      <c r="S81" s="202"/>
      <c r="T81" s="202">
        <v>1.5</v>
      </c>
      <c r="U81" s="204"/>
      <c r="V81" s="204"/>
      <c r="W81" s="22"/>
      <c r="X81" s="22">
        <f t="shared" si="2"/>
        <v>2.7</v>
      </c>
      <c r="Y81" s="46" t="s">
        <v>1136</v>
      </c>
      <c r="Z81" s="94"/>
    </row>
    <row r="82" spans="1:26" ht="189">
      <c r="A82" s="498"/>
      <c r="B82" s="498"/>
      <c r="C82" s="498"/>
      <c r="D82" s="43">
        <v>76</v>
      </c>
      <c r="E82" s="43" t="s">
        <v>126</v>
      </c>
      <c r="F82" s="204">
        <v>1.4</v>
      </c>
      <c r="G82" s="204"/>
      <c r="H82" s="204"/>
      <c r="I82" s="204"/>
      <c r="J82" s="197">
        <v>0</v>
      </c>
      <c r="K82" s="204"/>
      <c r="L82" s="204">
        <v>0</v>
      </c>
      <c r="M82" s="204"/>
      <c r="N82" s="204"/>
      <c r="O82" s="202"/>
      <c r="P82" s="197"/>
      <c r="Q82" s="202"/>
      <c r="R82" s="202">
        <v>1.1000000000000001</v>
      </c>
      <c r="S82" s="204"/>
      <c r="T82" s="204"/>
      <c r="U82" s="204"/>
      <c r="V82" s="204"/>
      <c r="W82" s="22"/>
      <c r="X82" s="22">
        <f t="shared" si="2"/>
        <v>2.5</v>
      </c>
      <c r="Y82" s="46" t="s">
        <v>1137</v>
      </c>
      <c r="Z82" s="94"/>
    </row>
    <row r="83" spans="1:26" ht="393.75">
      <c r="A83" s="498"/>
      <c r="B83" s="498"/>
      <c r="C83" s="498"/>
      <c r="D83" s="43">
        <v>77</v>
      </c>
      <c r="E83" s="43" t="s">
        <v>127</v>
      </c>
      <c r="F83" s="202">
        <v>0.3</v>
      </c>
      <c r="G83" s="202"/>
      <c r="H83" s="202"/>
      <c r="I83" s="202">
        <v>0.25</v>
      </c>
      <c r="J83" s="203">
        <f>I83</f>
        <v>0.25</v>
      </c>
      <c r="K83" s="202"/>
      <c r="L83" s="202">
        <v>3.3</v>
      </c>
      <c r="M83" s="204"/>
      <c r="N83" s="204"/>
      <c r="O83" s="202">
        <v>0.9</v>
      </c>
      <c r="P83" s="203">
        <f>O83</f>
        <v>0.9</v>
      </c>
      <c r="Q83" s="202"/>
      <c r="R83" s="202"/>
      <c r="S83" s="204"/>
      <c r="T83" s="204"/>
      <c r="U83" s="202"/>
      <c r="V83" s="202"/>
      <c r="W83" s="22"/>
      <c r="X83" s="22">
        <f t="shared" si="2"/>
        <v>4.75</v>
      </c>
      <c r="Y83" s="46" t="s">
        <v>1138</v>
      </c>
      <c r="Z83" s="94"/>
    </row>
    <row r="84" spans="1:26" ht="47.25">
      <c r="A84" s="498"/>
      <c r="B84" s="498"/>
      <c r="C84" s="498"/>
      <c r="D84" s="43">
        <v>78</v>
      </c>
      <c r="E84" s="43" t="s">
        <v>128</v>
      </c>
      <c r="F84" s="204"/>
      <c r="G84" s="204"/>
      <c r="H84" s="204"/>
      <c r="I84" s="204"/>
      <c r="J84" s="21">
        <f t="shared" ref="J84:J92" si="6">H84+I84</f>
        <v>0</v>
      </c>
      <c r="K84" s="204"/>
      <c r="L84" s="204"/>
      <c r="M84" s="204"/>
      <c r="N84" s="204"/>
      <c r="O84" s="204"/>
      <c r="P84" s="21">
        <f t="shared" ref="P84:P92" si="7">N84+O84</f>
        <v>0</v>
      </c>
      <c r="Q84" s="204"/>
      <c r="R84" s="204"/>
      <c r="S84" s="204"/>
      <c r="T84" s="204"/>
      <c r="U84" s="204"/>
      <c r="V84" s="204"/>
      <c r="W84" s="22"/>
      <c r="X84" s="22">
        <f t="shared" si="2"/>
        <v>0</v>
      </c>
      <c r="Y84" s="46"/>
      <c r="Z84" s="94"/>
    </row>
    <row r="85" spans="1:26" ht="15" hidden="1" customHeight="1">
      <c r="A85" s="498"/>
      <c r="B85" s="496"/>
      <c r="C85" s="496"/>
      <c r="D85" s="43">
        <v>79</v>
      </c>
      <c r="E85" s="43" t="s">
        <v>44</v>
      </c>
      <c r="F85" s="205"/>
      <c r="G85" s="205"/>
      <c r="H85" s="205"/>
      <c r="I85" s="205"/>
      <c r="J85" s="21">
        <f t="shared" si="6"/>
        <v>0</v>
      </c>
      <c r="K85" s="205"/>
      <c r="L85" s="205"/>
      <c r="M85" s="205"/>
      <c r="N85" s="205"/>
      <c r="O85" s="205"/>
      <c r="P85" s="21">
        <f t="shared" si="7"/>
        <v>0</v>
      </c>
      <c r="Q85" s="205"/>
      <c r="R85" s="205"/>
      <c r="S85" s="205"/>
      <c r="T85" s="205"/>
      <c r="U85" s="205"/>
      <c r="V85" s="205"/>
      <c r="W85" s="22"/>
      <c r="X85" s="22">
        <f t="shared" si="2"/>
        <v>0</v>
      </c>
      <c r="Y85" s="46"/>
      <c r="Z85" s="94"/>
    </row>
    <row r="86" spans="1:26" ht="15.75">
      <c r="A86" s="498"/>
      <c r="B86" s="497" t="s">
        <v>129</v>
      </c>
      <c r="C86" s="497" t="s">
        <v>130</v>
      </c>
      <c r="D86" s="43">
        <v>80</v>
      </c>
      <c r="E86" s="43" t="s">
        <v>131</v>
      </c>
      <c r="F86" s="182"/>
      <c r="G86" s="182"/>
      <c r="H86" s="182"/>
      <c r="I86" s="182"/>
      <c r="J86" s="21">
        <f t="shared" si="6"/>
        <v>0</v>
      </c>
      <c r="K86" s="182"/>
      <c r="L86" s="182"/>
      <c r="M86" s="182"/>
      <c r="N86" s="182"/>
      <c r="O86" s="206"/>
      <c r="P86" s="66">
        <f t="shared" si="7"/>
        <v>0</v>
      </c>
      <c r="Q86" s="184"/>
      <c r="R86" s="184"/>
      <c r="S86" s="183"/>
      <c r="T86" s="183"/>
      <c r="U86" s="182"/>
      <c r="V86" s="182"/>
      <c r="W86" s="22"/>
      <c r="X86" s="22">
        <f t="shared" si="2"/>
        <v>0</v>
      </c>
      <c r="Y86" s="46"/>
      <c r="Z86" s="94"/>
    </row>
    <row r="87" spans="1:26" ht="47.25">
      <c r="A87" s="498"/>
      <c r="B87" s="498"/>
      <c r="C87" s="498"/>
      <c r="D87" s="43">
        <v>81</v>
      </c>
      <c r="E87" s="43" t="s">
        <v>132</v>
      </c>
      <c r="F87" s="182"/>
      <c r="G87" s="182"/>
      <c r="H87" s="182"/>
      <c r="I87" s="182"/>
      <c r="J87" s="21">
        <f t="shared" si="6"/>
        <v>0</v>
      </c>
      <c r="K87" s="182"/>
      <c r="L87" s="182"/>
      <c r="M87" s="182"/>
      <c r="N87" s="182"/>
      <c r="O87" s="182"/>
      <c r="P87" s="21">
        <f t="shared" si="7"/>
        <v>0</v>
      </c>
      <c r="Q87" s="184"/>
      <c r="R87" s="184"/>
      <c r="S87" s="183"/>
      <c r="T87" s="183"/>
      <c r="U87" s="182"/>
      <c r="V87" s="182"/>
      <c r="W87" s="22"/>
      <c r="X87" s="22">
        <f t="shared" si="2"/>
        <v>0</v>
      </c>
      <c r="Y87" s="46"/>
      <c r="Z87" s="94"/>
    </row>
    <row r="88" spans="1:26" ht="63">
      <c r="A88" s="498"/>
      <c r="B88" s="498"/>
      <c r="C88" s="498"/>
      <c r="D88" s="43">
        <v>82</v>
      </c>
      <c r="E88" s="67" t="s">
        <v>133</v>
      </c>
      <c r="F88" s="182"/>
      <c r="G88" s="182"/>
      <c r="H88" s="182"/>
      <c r="I88" s="182"/>
      <c r="J88" s="21">
        <f t="shared" si="6"/>
        <v>0</v>
      </c>
      <c r="K88" s="182"/>
      <c r="L88" s="182"/>
      <c r="M88" s="182"/>
      <c r="N88" s="182"/>
      <c r="O88" s="182"/>
      <c r="P88" s="21">
        <f t="shared" si="7"/>
        <v>0</v>
      </c>
      <c r="Q88" s="182"/>
      <c r="R88" s="182"/>
      <c r="S88" s="183"/>
      <c r="T88" s="183">
        <v>0.1</v>
      </c>
      <c r="U88" s="182"/>
      <c r="V88" s="182"/>
      <c r="W88" s="22"/>
      <c r="X88" s="22">
        <f t="shared" si="2"/>
        <v>0.1</v>
      </c>
      <c r="Y88" s="79" t="s">
        <v>957</v>
      </c>
      <c r="Z88" s="94"/>
    </row>
    <row r="89" spans="1:26" ht="31.5">
      <c r="A89" s="498"/>
      <c r="B89" s="496"/>
      <c r="C89" s="496"/>
      <c r="D89" s="43">
        <v>83</v>
      </c>
      <c r="E89" s="43" t="s">
        <v>134</v>
      </c>
      <c r="F89" s="182"/>
      <c r="G89" s="182"/>
      <c r="H89" s="182"/>
      <c r="I89" s="182"/>
      <c r="J89" s="21">
        <f t="shared" si="6"/>
        <v>0</v>
      </c>
      <c r="K89" s="182"/>
      <c r="L89" s="182"/>
      <c r="M89" s="182"/>
      <c r="N89" s="182"/>
      <c r="O89" s="184">
        <v>0.5</v>
      </c>
      <c r="P89" s="22">
        <f t="shared" si="7"/>
        <v>0.5</v>
      </c>
      <c r="Q89" s="183"/>
      <c r="R89" s="183"/>
      <c r="S89" s="183"/>
      <c r="T89" s="183">
        <v>0</v>
      </c>
      <c r="U89" s="182"/>
      <c r="V89" s="182"/>
      <c r="W89" s="22"/>
      <c r="X89" s="22">
        <f t="shared" si="2"/>
        <v>0.5</v>
      </c>
      <c r="Y89" s="46" t="s">
        <v>956</v>
      </c>
      <c r="Z89" s="94"/>
    </row>
    <row r="90" spans="1:26" ht="126">
      <c r="A90" s="498"/>
      <c r="B90" s="43" t="s">
        <v>135</v>
      </c>
      <c r="C90" s="43" t="s">
        <v>136</v>
      </c>
      <c r="D90" s="43">
        <v>84</v>
      </c>
      <c r="E90" s="43" t="s">
        <v>137</v>
      </c>
      <c r="F90" s="182"/>
      <c r="G90" s="182"/>
      <c r="H90" s="182"/>
      <c r="I90" s="182"/>
      <c r="J90" s="21">
        <f t="shared" si="6"/>
        <v>0</v>
      </c>
      <c r="K90" s="184"/>
      <c r="L90" s="184"/>
      <c r="M90" s="182"/>
      <c r="N90" s="182"/>
      <c r="O90" s="184"/>
      <c r="P90" s="22">
        <f t="shared" si="7"/>
        <v>0</v>
      </c>
      <c r="Q90" s="182"/>
      <c r="R90" s="182"/>
      <c r="S90" s="182"/>
      <c r="T90" s="182"/>
      <c r="U90" s="182"/>
      <c r="V90" s="182"/>
      <c r="W90" s="22"/>
      <c r="X90" s="22">
        <f t="shared" si="2"/>
        <v>0</v>
      </c>
      <c r="Y90" s="46"/>
      <c r="Z90" s="94"/>
    </row>
    <row r="91" spans="1:26" ht="173.25">
      <c r="A91" s="498"/>
      <c r="B91" s="43" t="s">
        <v>138</v>
      </c>
      <c r="C91" s="43" t="s">
        <v>139</v>
      </c>
      <c r="D91" s="43">
        <v>85</v>
      </c>
      <c r="E91" s="43" t="s">
        <v>140</v>
      </c>
      <c r="F91" s="182"/>
      <c r="G91" s="182"/>
      <c r="H91" s="182"/>
      <c r="I91" s="182"/>
      <c r="J91" s="21">
        <f t="shared" si="6"/>
        <v>0</v>
      </c>
      <c r="K91" s="182"/>
      <c r="L91" s="182"/>
      <c r="M91" s="182"/>
      <c r="N91" s="182"/>
      <c r="O91" s="184"/>
      <c r="P91" s="22">
        <f t="shared" si="7"/>
        <v>0</v>
      </c>
      <c r="Q91" s="182"/>
      <c r="R91" s="182"/>
      <c r="S91" s="182"/>
      <c r="T91" s="182"/>
      <c r="U91" s="182"/>
      <c r="V91" s="182"/>
      <c r="W91" s="22"/>
      <c r="X91" s="22">
        <f t="shared" si="2"/>
        <v>0</v>
      </c>
      <c r="Y91" s="46"/>
      <c r="Z91" s="94"/>
    </row>
    <row r="92" spans="1:26" ht="126" hidden="1">
      <c r="A92" s="498"/>
      <c r="B92" s="43" t="s">
        <v>141</v>
      </c>
      <c r="C92" s="43" t="s">
        <v>44</v>
      </c>
      <c r="D92" s="43">
        <v>86</v>
      </c>
      <c r="E92" s="43" t="s">
        <v>142</v>
      </c>
      <c r="F92" s="21"/>
      <c r="G92" s="21"/>
      <c r="H92" s="21"/>
      <c r="I92" s="21"/>
      <c r="J92" s="21">
        <f t="shared" si="6"/>
        <v>0</v>
      </c>
      <c r="K92" s="21"/>
      <c r="L92" s="21"/>
      <c r="M92" s="21"/>
      <c r="N92" s="21"/>
      <c r="O92" s="21"/>
      <c r="P92" s="21">
        <f t="shared" si="7"/>
        <v>0</v>
      </c>
      <c r="Q92" s="21"/>
      <c r="R92" s="21"/>
      <c r="S92" s="21"/>
      <c r="T92" s="21"/>
      <c r="U92" s="21"/>
      <c r="V92" s="21"/>
      <c r="W92" s="22"/>
      <c r="X92" s="22">
        <f t="shared" si="2"/>
        <v>0</v>
      </c>
      <c r="Y92" s="46"/>
      <c r="Z92" s="94"/>
    </row>
    <row r="93" spans="1:26" ht="40.5" customHeight="1">
      <c r="A93" s="496"/>
      <c r="B93" s="501" t="s">
        <v>143</v>
      </c>
      <c r="C93" s="489"/>
      <c r="D93" s="490"/>
      <c r="E93" s="43"/>
      <c r="F93" s="60">
        <f t="shared" ref="F93:W93" si="8">SUM(F69:F92)</f>
        <v>62.3</v>
      </c>
      <c r="G93" s="60">
        <f t="shared" si="8"/>
        <v>0</v>
      </c>
      <c r="H93" s="60">
        <f t="shared" si="8"/>
        <v>0</v>
      </c>
      <c r="I93" s="60">
        <f t="shared" si="8"/>
        <v>0.65</v>
      </c>
      <c r="J93" s="60">
        <f t="shared" si="8"/>
        <v>0.65</v>
      </c>
      <c r="K93" s="60">
        <f t="shared" si="8"/>
        <v>0</v>
      </c>
      <c r="L93" s="60">
        <f t="shared" si="8"/>
        <v>4.7539999999999996</v>
      </c>
      <c r="M93" s="60">
        <f t="shared" si="8"/>
        <v>0</v>
      </c>
      <c r="N93" s="60">
        <f t="shared" si="8"/>
        <v>0</v>
      </c>
      <c r="O93" s="60">
        <f t="shared" si="8"/>
        <v>4.25</v>
      </c>
      <c r="P93" s="60">
        <f t="shared" si="8"/>
        <v>4.25</v>
      </c>
      <c r="Q93" s="60">
        <f t="shared" si="8"/>
        <v>0</v>
      </c>
      <c r="R93" s="60">
        <f t="shared" si="8"/>
        <v>10.299999999999999</v>
      </c>
      <c r="S93" s="60">
        <f t="shared" si="8"/>
        <v>0</v>
      </c>
      <c r="T93" s="60">
        <f t="shared" si="8"/>
        <v>50.449000000000012</v>
      </c>
      <c r="U93" s="60">
        <f t="shared" si="8"/>
        <v>0</v>
      </c>
      <c r="V93" s="60">
        <f t="shared" si="8"/>
        <v>2</v>
      </c>
      <c r="W93" s="60">
        <f t="shared" si="8"/>
        <v>0</v>
      </c>
      <c r="X93" s="60">
        <f t="shared" si="2"/>
        <v>134.703</v>
      </c>
      <c r="Y93" s="222"/>
      <c r="Z93" s="94"/>
    </row>
    <row r="94" spans="1:26" ht="110.25">
      <c r="A94" s="499" t="s">
        <v>144</v>
      </c>
      <c r="B94" s="497" t="s">
        <v>145</v>
      </c>
      <c r="C94" s="497" t="s">
        <v>146</v>
      </c>
      <c r="D94" s="43">
        <v>87</v>
      </c>
      <c r="E94" s="43" t="s">
        <v>147</v>
      </c>
      <c r="F94" s="207"/>
      <c r="G94" s="207"/>
      <c r="H94" s="207"/>
      <c r="I94" s="207"/>
      <c r="J94" s="21">
        <f t="shared" ref="J94:J133" si="9">H94+I94</f>
        <v>0</v>
      </c>
      <c r="K94" s="207"/>
      <c r="L94" s="207"/>
      <c r="M94" s="207"/>
      <c r="N94" s="207"/>
      <c r="O94" s="184">
        <v>14</v>
      </c>
      <c r="P94" s="22">
        <f t="shared" ref="P94:P133" si="10">N94+O94</f>
        <v>14</v>
      </c>
      <c r="Q94" s="207"/>
      <c r="R94" s="207"/>
      <c r="S94" s="207"/>
      <c r="T94" s="207"/>
      <c r="U94" s="207"/>
      <c r="V94" s="207"/>
      <c r="W94" s="22"/>
      <c r="X94" s="22">
        <f t="shared" si="2"/>
        <v>14</v>
      </c>
      <c r="Y94" s="225" t="s">
        <v>624</v>
      </c>
      <c r="Z94" s="94"/>
    </row>
    <row r="95" spans="1:26" ht="47.25">
      <c r="A95" s="498"/>
      <c r="B95" s="498"/>
      <c r="C95" s="498"/>
      <c r="D95" s="43">
        <v>88</v>
      </c>
      <c r="E95" s="43" t="s">
        <v>148</v>
      </c>
      <c r="F95" s="207"/>
      <c r="G95" s="207"/>
      <c r="H95" s="207"/>
      <c r="I95" s="207"/>
      <c r="J95" s="21">
        <f t="shared" si="9"/>
        <v>0</v>
      </c>
      <c r="K95" s="207"/>
      <c r="L95" s="207"/>
      <c r="M95" s="207"/>
      <c r="N95" s="207"/>
      <c r="O95" s="207"/>
      <c r="P95" s="21">
        <f t="shared" si="10"/>
        <v>0</v>
      </c>
      <c r="Q95" s="207"/>
      <c r="R95" s="207"/>
      <c r="S95" s="208"/>
      <c r="T95" s="208">
        <v>4</v>
      </c>
      <c r="U95" s="207"/>
      <c r="V95" s="207"/>
      <c r="W95" s="22"/>
      <c r="X95" s="22">
        <f t="shared" si="2"/>
        <v>4</v>
      </c>
      <c r="Y95" s="225" t="s">
        <v>1159</v>
      </c>
      <c r="Z95" s="94"/>
    </row>
    <row r="96" spans="1:26" ht="78.75">
      <c r="A96" s="498"/>
      <c r="B96" s="498"/>
      <c r="C96" s="498"/>
      <c r="D96" s="43">
        <v>89</v>
      </c>
      <c r="E96" s="43" t="s">
        <v>149</v>
      </c>
      <c r="F96" s="207"/>
      <c r="G96" s="207"/>
      <c r="H96" s="207"/>
      <c r="I96" s="207"/>
      <c r="J96" s="21">
        <f t="shared" si="9"/>
        <v>0</v>
      </c>
      <c r="K96" s="207"/>
      <c r="L96" s="207"/>
      <c r="M96" s="207"/>
      <c r="N96" s="207"/>
      <c r="O96" s="207"/>
      <c r="P96" s="21">
        <f t="shared" si="10"/>
        <v>0</v>
      </c>
      <c r="Q96" s="207"/>
      <c r="R96" s="207"/>
      <c r="S96" s="207"/>
      <c r="T96" s="207"/>
      <c r="U96" s="207"/>
      <c r="V96" s="207"/>
      <c r="W96" s="22"/>
      <c r="X96" s="22">
        <f t="shared" si="2"/>
        <v>0</v>
      </c>
      <c r="Y96" s="225"/>
      <c r="Z96" s="94"/>
    </row>
    <row r="97" spans="1:26" ht="63">
      <c r="A97" s="498"/>
      <c r="B97" s="498"/>
      <c r="C97" s="498"/>
      <c r="D97" s="43">
        <v>90</v>
      </c>
      <c r="E97" s="43" t="s">
        <v>150</v>
      </c>
      <c r="F97" s="207"/>
      <c r="G97" s="207"/>
      <c r="H97" s="207"/>
      <c r="I97" s="207"/>
      <c r="J97" s="21">
        <f t="shared" si="9"/>
        <v>0</v>
      </c>
      <c r="K97" s="207"/>
      <c r="L97" s="207"/>
      <c r="M97" s="207"/>
      <c r="N97" s="207"/>
      <c r="O97" s="207"/>
      <c r="P97" s="21">
        <f t="shared" si="10"/>
        <v>0</v>
      </c>
      <c r="Q97" s="207"/>
      <c r="R97" s="207"/>
      <c r="S97" s="208"/>
      <c r="T97" s="208"/>
      <c r="U97" s="207"/>
      <c r="V97" s="207"/>
      <c r="W97" s="22"/>
      <c r="X97" s="22">
        <f t="shared" si="2"/>
        <v>0</v>
      </c>
      <c r="Y97" s="225"/>
      <c r="Z97" s="94"/>
    </row>
    <row r="98" spans="1:26" ht="47.25">
      <c r="A98" s="498"/>
      <c r="B98" s="498"/>
      <c r="C98" s="498"/>
      <c r="D98" s="43">
        <v>91</v>
      </c>
      <c r="E98" s="43" t="s">
        <v>151</v>
      </c>
      <c r="F98" s="207"/>
      <c r="G98" s="182"/>
      <c r="H98" s="182"/>
      <c r="I98" s="182"/>
      <c r="J98" s="21">
        <f t="shared" si="9"/>
        <v>0</v>
      </c>
      <c r="K98" s="182"/>
      <c r="L98" s="182"/>
      <c r="M98" s="182"/>
      <c r="N98" s="182"/>
      <c r="O98" s="184"/>
      <c r="P98" s="22">
        <f t="shared" si="10"/>
        <v>0</v>
      </c>
      <c r="Q98" s="182"/>
      <c r="R98" s="182"/>
      <c r="S98" s="183"/>
      <c r="T98" s="183"/>
      <c r="U98" s="207"/>
      <c r="V98" s="207"/>
      <c r="W98" s="22"/>
      <c r="X98" s="22">
        <f t="shared" si="2"/>
        <v>0</v>
      </c>
      <c r="Y98" s="227"/>
      <c r="Z98" s="94"/>
    </row>
    <row r="99" spans="1:26" ht="78.75">
      <c r="A99" s="498"/>
      <c r="B99" s="498"/>
      <c r="C99" s="498"/>
      <c r="D99" s="43">
        <v>92</v>
      </c>
      <c r="E99" s="43" t="s">
        <v>152</v>
      </c>
      <c r="F99" s="207"/>
      <c r="G99" s="207"/>
      <c r="H99" s="207"/>
      <c r="I99" s="207"/>
      <c r="J99" s="21">
        <f t="shared" si="9"/>
        <v>0</v>
      </c>
      <c r="K99" s="207"/>
      <c r="L99" s="207"/>
      <c r="M99" s="207"/>
      <c r="N99" s="207"/>
      <c r="O99" s="207"/>
      <c r="P99" s="21">
        <f t="shared" si="10"/>
        <v>0</v>
      </c>
      <c r="Q99" s="207"/>
      <c r="R99" s="207"/>
      <c r="S99" s="208"/>
      <c r="T99" s="208">
        <v>1</v>
      </c>
      <c r="U99" s="207"/>
      <c r="V99" s="207"/>
      <c r="W99" s="22"/>
      <c r="X99" s="22">
        <f t="shared" si="2"/>
        <v>1</v>
      </c>
      <c r="Y99" s="231" t="s">
        <v>625</v>
      </c>
      <c r="Z99" s="94"/>
    </row>
    <row r="100" spans="1:26" ht="78.75">
      <c r="A100" s="498"/>
      <c r="B100" s="498"/>
      <c r="C100" s="498"/>
      <c r="D100" s="43">
        <v>93</v>
      </c>
      <c r="E100" s="43" t="s">
        <v>153</v>
      </c>
      <c r="F100" s="207"/>
      <c r="G100" s="207"/>
      <c r="H100" s="207"/>
      <c r="I100" s="207"/>
      <c r="J100" s="21">
        <f t="shared" si="9"/>
        <v>0</v>
      </c>
      <c r="K100" s="208"/>
      <c r="L100" s="208">
        <v>4.5</v>
      </c>
      <c r="M100" s="207"/>
      <c r="N100" s="207"/>
      <c r="O100" s="207"/>
      <c r="P100" s="21">
        <f t="shared" si="10"/>
        <v>0</v>
      </c>
      <c r="Q100" s="207"/>
      <c r="R100" s="207"/>
      <c r="S100" s="207"/>
      <c r="T100" s="207"/>
      <c r="U100" s="207"/>
      <c r="V100" s="207"/>
      <c r="W100" s="22"/>
      <c r="X100" s="22">
        <f t="shared" si="2"/>
        <v>4.5</v>
      </c>
      <c r="Y100" s="227" t="s">
        <v>600</v>
      </c>
      <c r="Z100" s="94"/>
    </row>
    <row r="101" spans="1:26" ht="78.75">
      <c r="A101" s="498"/>
      <c r="B101" s="498"/>
      <c r="C101" s="498"/>
      <c r="D101" s="43">
        <v>94</v>
      </c>
      <c r="E101" s="43" t="s">
        <v>154</v>
      </c>
      <c r="F101" s="207"/>
      <c r="G101" s="207"/>
      <c r="H101" s="207"/>
      <c r="I101" s="207"/>
      <c r="J101" s="21">
        <f t="shared" si="9"/>
        <v>0</v>
      </c>
      <c r="K101" s="208"/>
      <c r="L101" s="208">
        <v>4.5</v>
      </c>
      <c r="M101" s="207"/>
      <c r="N101" s="207"/>
      <c r="O101" s="207"/>
      <c r="P101" s="21">
        <f t="shared" si="10"/>
        <v>0</v>
      </c>
      <c r="Q101" s="207"/>
      <c r="R101" s="207"/>
      <c r="S101" s="207"/>
      <c r="T101" s="207"/>
      <c r="U101" s="207"/>
      <c r="V101" s="207"/>
      <c r="W101" s="22"/>
      <c r="X101" s="22">
        <f t="shared" si="2"/>
        <v>4.5</v>
      </c>
      <c r="Y101" s="231" t="s">
        <v>601</v>
      </c>
      <c r="Z101" s="94"/>
    </row>
    <row r="102" spans="1:26" ht="94.5">
      <c r="A102" s="498"/>
      <c r="B102" s="498"/>
      <c r="C102" s="498"/>
      <c r="D102" s="43">
        <v>95</v>
      </c>
      <c r="E102" s="43" t="s">
        <v>155</v>
      </c>
      <c r="F102" s="207"/>
      <c r="G102" s="207"/>
      <c r="H102" s="207"/>
      <c r="I102" s="208"/>
      <c r="J102" s="48">
        <f t="shared" si="9"/>
        <v>0</v>
      </c>
      <c r="K102" s="184"/>
      <c r="L102" s="184"/>
      <c r="M102" s="207"/>
      <c r="N102" s="207"/>
      <c r="O102" s="207"/>
      <c r="P102" s="21">
        <f t="shared" si="10"/>
        <v>0</v>
      </c>
      <c r="Q102" s="207"/>
      <c r="R102" s="207"/>
      <c r="S102" s="207"/>
      <c r="T102" s="207"/>
      <c r="U102" s="207"/>
      <c r="V102" s="207"/>
      <c r="W102" s="22"/>
      <c r="X102" s="22">
        <f t="shared" si="2"/>
        <v>0</v>
      </c>
      <c r="Y102" s="46"/>
      <c r="Z102" s="94"/>
    </row>
    <row r="103" spans="1:26" ht="63">
      <c r="A103" s="498"/>
      <c r="B103" s="496"/>
      <c r="C103" s="496"/>
      <c r="D103" s="43">
        <v>96</v>
      </c>
      <c r="E103" s="43" t="s">
        <v>156</v>
      </c>
      <c r="F103" s="207"/>
      <c r="G103" s="207"/>
      <c r="H103" s="207"/>
      <c r="I103" s="207"/>
      <c r="J103" s="21">
        <f t="shared" si="9"/>
        <v>0</v>
      </c>
      <c r="K103" s="207"/>
      <c r="L103" s="207"/>
      <c r="M103" s="207"/>
      <c r="N103" s="207"/>
      <c r="O103" s="207"/>
      <c r="P103" s="21">
        <f t="shared" si="10"/>
        <v>0</v>
      </c>
      <c r="Q103" s="207"/>
      <c r="R103" s="207"/>
      <c r="S103" s="182"/>
      <c r="T103" s="182">
        <v>1</v>
      </c>
      <c r="U103" s="207"/>
      <c r="V103" s="207"/>
      <c r="W103" s="22"/>
      <c r="X103" s="22">
        <f t="shared" si="2"/>
        <v>1</v>
      </c>
      <c r="Y103" s="46" t="s">
        <v>157</v>
      </c>
      <c r="Z103" s="94"/>
    </row>
    <row r="104" spans="1:26" ht="141.75">
      <c r="A104" s="498"/>
      <c r="B104" s="497" t="s">
        <v>158</v>
      </c>
      <c r="C104" s="497" t="s">
        <v>159</v>
      </c>
      <c r="D104" s="43">
        <v>97</v>
      </c>
      <c r="E104" s="43" t="s">
        <v>160</v>
      </c>
      <c r="F104" s="197"/>
      <c r="G104" s="197"/>
      <c r="H104" s="197"/>
      <c r="I104" s="197"/>
      <c r="J104" s="21">
        <f t="shared" si="9"/>
        <v>0</v>
      </c>
      <c r="K104" s="209"/>
      <c r="L104" s="209"/>
      <c r="M104" s="197"/>
      <c r="N104" s="197"/>
      <c r="O104" s="209"/>
      <c r="P104" s="22">
        <f t="shared" si="10"/>
        <v>0</v>
      </c>
      <c r="Q104" s="209"/>
      <c r="R104" s="209"/>
      <c r="S104" s="210"/>
      <c r="T104" s="210">
        <v>11</v>
      </c>
      <c r="U104" s="197"/>
      <c r="V104" s="197"/>
      <c r="W104" s="22"/>
      <c r="X104" s="22">
        <f t="shared" si="2"/>
        <v>11</v>
      </c>
      <c r="Y104" s="61" t="s">
        <v>642</v>
      </c>
      <c r="Z104" s="94"/>
    </row>
    <row r="105" spans="1:26" ht="78.75">
      <c r="A105" s="498"/>
      <c r="B105" s="496"/>
      <c r="C105" s="496"/>
      <c r="D105" s="43">
        <v>98</v>
      </c>
      <c r="E105" s="43" t="s">
        <v>44</v>
      </c>
      <c r="F105" s="197"/>
      <c r="G105" s="197"/>
      <c r="H105" s="197"/>
      <c r="I105" s="197"/>
      <c r="J105" s="21">
        <f t="shared" si="9"/>
        <v>0</v>
      </c>
      <c r="K105" s="197"/>
      <c r="L105" s="197"/>
      <c r="M105" s="197"/>
      <c r="N105" s="197"/>
      <c r="O105" s="197"/>
      <c r="P105" s="21">
        <f t="shared" si="10"/>
        <v>0</v>
      </c>
      <c r="Q105" s="197"/>
      <c r="R105" s="197"/>
      <c r="S105" s="197"/>
      <c r="T105" s="197">
        <v>0.36</v>
      </c>
      <c r="U105" s="197"/>
      <c r="V105" s="197"/>
      <c r="W105" s="22"/>
      <c r="X105" s="22">
        <f t="shared" si="2"/>
        <v>0.36</v>
      </c>
      <c r="Y105" s="46" t="s">
        <v>631</v>
      </c>
      <c r="Z105" s="94"/>
    </row>
    <row r="106" spans="1:26" ht="31.5">
      <c r="A106" s="498"/>
      <c r="B106" s="497" t="s">
        <v>161</v>
      </c>
      <c r="C106" s="497" t="s">
        <v>162</v>
      </c>
      <c r="D106" s="43">
        <v>99</v>
      </c>
      <c r="E106" s="43" t="s">
        <v>163</v>
      </c>
      <c r="F106" s="197"/>
      <c r="G106" s="197"/>
      <c r="H106" s="197"/>
      <c r="I106" s="210"/>
      <c r="J106" s="48">
        <f t="shared" si="9"/>
        <v>0</v>
      </c>
      <c r="K106" s="209"/>
      <c r="L106" s="209"/>
      <c r="M106" s="197"/>
      <c r="N106" s="197"/>
      <c r="O106" s="209"/>
      <c r="P106" s="22">
        <f t="shared" si="10"/>
        <v>0</v>
      </c>
      <c r="Q106" s="197"/>
      <c r="R106" s="197"/>
      <c r="S106" s="197"/>
      <c r="T106" s="197"/>
      <c r="U106" s="197"/>
      <c r="V106" s="197"/>
      <c r="W106" s="22"/>
      <c r="X106" s="22">
        <f t="shared" si="2"/>
        <v>0</v>
      </c>
      <c r="Y106" s="232"/>
      <c r="Z106" s="94"/>
    </row>
    <row r="107" spans="1:26" ht="31.5">
      <c r="A107" s="498"/>
      <c r="B107" s="498"/>
      <c r="C107" s="498"/>
      <c r="D107" s="43">
        <v>100</v>
      </c>
      <c r="E107" s="43" t="s">
        <v>165</v>
      </c>
      <c r="F107" s="197"/>
      <c r="G107" s="197"/>
      <c r="H107" s="197"/>
      <c r="I107" s="197"/>
      <c r="J107" s="21">
        <f t="shared" si="9"/>
        <v>0</v>
      </c>
      <c r="K107" s="209"/>
      <c r="L107" s="209"/>
      <c r="M107" s="197"/>
      <c r="N107" s="197"/>
      <c r="O107" s="209"/>
      <c r="P107" s="22">
        <f t="shared" si="10"/>
        <v>0</v>
      </c>
      <c r="Q107" s="197"/>
      <c r="R107" s="197"/>
      <c r="S107" s="197"/>
      <c r="T107" s="197"/>
      <c r="U107" s="197"/>
      <c r="V107" s="197"/>
      <c r="W107" s="22"/>
      <c r="X107" s="22">
        <f t="shared" si="2"/>
        <v>0</v>
      </c>
      <c r="Y107" s="232"/>
      <c r="Z107" s="94"/>
    </row>
    <row r="108" spans="1:26" ht="31.5">
      <c r="A108" s="498"/>
      <c r="B108" s="498"/>
      <c r="C108" s="498"/>
      <c r="D108" s="43">
        <v>101</v>
      </c>
      <c r="E108" s="43" t="s">
        <v>166</v>
      </c>
      <c r="F108" s="197"/>
      <c r="G108" s="197"/>
      <c r="H108" s="197"/>
      <c r="I108" s="197"/>
      <c r="J108" s="21">
        <f t="shared" si="9"/>
        <v>0</v>
      </c>
      <c r="K108" s="197"/>
      <c r="L108" s="197"/>
      <c r="M108" s="197"/>
      <c r="N108" s="197"/>
      <c r="O108" s="197"/>
      <c r="P108" s="21">
        <f t="shared" si="10"/>
        <v>0</v>
      </c>
      <c r="Q108" s="197"/>
      <c r="R108" s="197"/>
      <c r="S108" s="197"/>
      <c r="T108" s="197"/>
      <c r="U108" s="197"/>
      <c r="V108" s="197"/>
      <c r="W108" s="22"/>
      <c r="X108" s="22">
        <f t="shared" si="2"/>
        <v>0</v>
      </c>
      <c r="Y108" s="211"/>
      <c r="Z108" s="94"/>
    </row>
    <row r="109" spans="1:26" ht="110.25">
      <c r="A109" s="498"/>
      <c r="B109" s="498"/>
      <c r="C109" s="498"/>
      <c r="D109" s="43">
        <v>102</v>
      </c>
      <c r="E109" s="43" t="s">
        <v>167</v>
      </c>
      <c r="F109" s="197"/>
      <c r="G109" s="197"/>
      <c r="H109" s="197"/>
      <c r="I109" s="197"/>
      <c r="J109" s="21">
        <f t="shared" si="9"/>
        <v>0</v>
      </c>
      <c r="K109" s="197"/>
      <c r="L109" s="197"/>
      <c r="M109" s="197"/>
      <c r="N109" s="197"/>
      <c r="O109" s="197"/>
      <c r="P109" s="21">
        <f t="shared" si="10"/>
        <v>0</v>
      </c>
      <c r="Q109" s="197"/>
      <c r="R109" s="197"/>
      <c r="S109" s="197"/>
      <c r="T109" s="197">
        <v>1.4</v>
      </c>
      <c r="U109" s="197"/>
      <c r="V109" s="197"/>
      <c r="W109" s="22"/>
      <c r="X109" s="22">
        <f t="shared" si="2"/>
        <v>1.4</v>
      </c>
      <c r="Y109" s="97" t="s">
        <v>658</v>
      </c>
      <c r="Z109" s="94"/>
    </row>
    <row r="110" spans="1:26" ht="47.25" hidden="1">
      <c r="A110" s="498"/>
      <c r="B110" s="496"/>
      <c r="C110" s="496"/>
      <c r="D110" s="43">
        <v>103</v>
      </c>
      <c r="E110" s="43" t="s">
        <v>44</v>
      </c>
      <c r="F110" s="197"/>
      <c r="G110" s="197"/>
      <c r="H110" s="197"/>
      <c r="I110" s="197"/>
      <c r="J110" s="21">
        <f t="shared" si="9"/>
        <v>0</v>
      </c>
      <c r="K110" s="197"/>
      <c r="L110" s="197"/>
      <c r="M110" s="197"/>
      <c r="N110" s="197"/>
      <c r="O110" s="197"/>
      <c r="P110" s="21">
        <f t="shared" si="10"/>
        <v>0</v>
      </c>
      <c r="Q110" s="197"/>
      <c r="R110" s="197"/>
      <c r="S110" s="210"/>
      <c r="T110" s="210"/>
      <c r="U110" s="210"/>
      <c r="V110" s="210"/>
      <c r="W110" s="22"/>
      <c r="X110" s="22">
        <f t="shared" si="2"/>
        <v>0</v>
      </c>
      <c r="Y110" s="61"/>
      <c r="Z110" s="94"/>
    </row>
    <row r="111" spans="1:26" ht="31.5">
      <c r="A111" s="498"/>
      <c r="B111" s="497" t="s">
        <v>168</v>
      </c>
      <c r="C111" s="497" t="s">
        <v>169</v>
      </c>
      <c r="D111" s="43">
        <v>104</v>
      </c>
      <c r="E111" s="43" t="s">
        <v>170</v>
      </c>
      <c r="F111" s="197"/>
      <c r="G111" s="197"/>
      <c r="H111" s="197"/>
      <c r="I111" s="197"/>
      <c r="J111" s="21">
        <f t="shared" si="9"/>
        <v>0</v>
      </c>
      <c r="K111" s="197"/>
      <c r="L111" s="197"/>
      <c r="M111" s="197"/>
      <c r="N111" s="197"/>
      <c r="O111" s="197"/>
      <c r="P111" s="21">
        <f t="shared" si="10"/>
        <v>0</v>
      </c>
      <c r="Q111" s="197"/>
      <c r="R111" s="197"/>
      <c r="S111" s="210"/>
      <c r="T111" s="210"/>
      <c r="U111" s="210"/>
      <c r="V111" s="210"/>
      <c r="W111" s="22"/>
      <c r="X111" s="22">
        <f t="shared" si="2"/>
        <v>0</v>
      </c>
      <c r="Y111" s="61"/>
      <c r="Z111" s="94"/>
    </row>
    <row r="112" spans="1:26" ht="189">
      <c r="A112" s="498"/>
      <c r="B112" s="498"/>
      <c r="C112" s="498"/>
      <c r="D112" s="43">
        <v>105</v>
      </c>
      <c r="E112" s="43" t="s">
        <v>171</v>
      </c>
      <c r="F112" s="197"/>
      <c r="G112" s="197"/>
      <c r="H112" s="197"/>
      <c r="I112" s="197"/>
      <c r="J112" s="21">
        <f t="shared" si="9"/>
        <v>0</v>
      </c>
      <c r="K112" s="197"/>
      <c r="L112" s="197"/>
      <c r="M112" s="197"/>
      <c r="N112" s="197"/>
      <c r="O112" s="197"/>
      <c r="P112" s="21">
        <f t="shared" si="10"/>
        <v>0</v>
      </c>
      <c r="Q112" s="197"/>
      <c r="R112" s="197"/>
      <c r="S112" s="209"/>
      <c r="T112" s="209">
        <v>2</v>
      </c>
      <c r="U112" s="197"/>
      <c r="V112" s="197"/>
      <c r="W112" s="22"/>
      <c r="X112" s="22">
        <f t="shared" si="2"/>
        <v>2</v>
      </c>
      <c r="Y112" s="46" t="s">
        <v>633</v>
      </c>
      <c r="Z112" s="94"/>
    </row>
    <row r="113" spans="1:26" ht="31.5">
      <c r="A113" s="498"/>
      <c r="B113" s="496"/>
      <c r="C113" s="496"/>
      <c r="D113" s="43">
        <v>106</v>
      </c>
      <c r="E113" s="43" t="s">
        <v>172</v>
      </c>
      <c r="F113" s="197"/>
      <c r="G113" s="197"/>
      <c r="H113" s="197"/>
      <c r="I113" s="197"/>
      <c r="J113" s="21">
        <f t="shared" si="9"/>
        <v>0</v>
      </c>
      <c r="K113" s="209"/>
      <c r="L113" s="209"/>
      <c r="M113" s="197"/>
      <c r="N113" s="197"/>
      <c r="O113" s="209"/>
      <c r="P113" s="22">
        <f t="shared" si="10"/>
        <v>0</v>
      </c>
      <c r="Q113" s="197"/>
      <c r="R113" s="197"/>
      <c r="S113" s="210"/>
      <c r="T113" s="210"/>
      <c r="U113" s="188"/>
      <c r="V113" s="188"/>
      <c r="W113" s="22"/>
      <c r="X113" s="22">
        <f t="shared" si="2"/>
        <v>0</v>
      </c>
      <c r="Y113" s="61"/>
      <c r="Z113" s="94"/>
    </row>
    <row r="114" spans="1:26" ht="62.25" customHeight="1">
      <c r="A114" s="498"/>
      <c r="B114" s="497" t="s">
        <v>173</v>
      </c>
      <c r="C114" s="497" t="s">
        <v>174</v>
      </c>
      <c r="D114" s="43">
        <v>107</v>
      </c>
      <c r="E114" s="43" t="s">
        <v>175</v>
      </c>
      <c r="F114" s="197"/>
      <c r="G114" s="197"/>
      <c r="H114" s="197"/>
      <c r="I114" s="197"/>
      <c r="J114" s="21">
        <f t="shared" si="9"/>
        <v>0</v>
      </c>
      <c r="K114" s="209"/>
      <c r="L114" s="209"/>
      <c r="M114" s="197"/>
      <c r="N114" s="197"/>
      <c r="O114" s="209"/>
      <c r="P114" s="22">
        <f t="shared" si="10"/>
        <v>0</v>
      </c>
      <c r="Q114" s="197"/>
      <c r="R114" s="197"/>
      <c r="S114" s="210"/>
      <c r="T114" s="210"/>
      <c r="U114" s="197"/>
      <c r="V114" s="197"/>
      <c r="W114" s="22"/>
      <c r="X114" s="22">
        <f t="shared" si="2"/>
        <v>0</v>
      </c>
      <c r="Y114" s="61"/>
      <c r="Z114" s="94"/>
    </row>
    <row r="115" spans="1:26" ht="39" customHeight="1">
      <c r="A115" s="498"/>
      <c r="B115" s="498"/>
      <c r="C115" s="498"/>
      <c r="D115" s="43">
        <v>108</v>
      </c>
      <c r="E115" s="43" t="s">
        <v>176</v>
      </c>
      <c r="F115" s="197"/>
      <c r="G115" s="197"/>
      <c r="H115" s="197"/>
      <c r="I115" s="197"/>
      <c r="J115" s="21">
        <f t="shared" si="9"/>
        <v>0</v>
      </c>
      <c r="K115" s="209"/>
      <c r="L115" s="209"/>
      <c r="M115" s="197"/>
      <c r="N115" s="197"/>
      <c r="O115" s="209"/>
      <c r="P115" s="22">
        <f t="shared" si="10"/>
        <v>0</v>
      </c>
      <c r="Q115" s="197"/>
      <c r="R115" s="197"/>
      <c r="S115" s="210"/>
      <c r="T115" s="210"/>
      <c r="U115" s="197"/>
      <c r="V115" s="197"/>
      <c r="W115" s="22"/>
      <c r="X115" s="22">
        <f t="shared" si="2"/>
        <v>0</v>
      </c>
      <c r="Y115" s="61"/>
      <c r="Z115" s="94"/>
    </row>
    <row r="116" spans="1:26" ht="36" customHeight="1">
      <c r="A116" s="498"/>
      <c r="B116" s="498"/>
      <c r="C116" s="498"/>
      <c r="D116" s="43">
        <v>109</v>
      </c>
      <c r="E116" s="43" t="s">
        <v>177</v>
      </c>
      <c r="F116" s="197"/>
      <c r="G116" s="197"/>
      <c r="H116" s="197"/>
      <c r="I116" s="210"/>
      <c r="J116" s="48">
        <f t="shared" si="9"/>
        <v>0</v>
      </c>
      <c r="K116" s="209"/>
      <c r="L116" s="209">
        <v>1</v>
      </c>
      <c r="M116" s="197"/>
      <c r="N116" s="197"/>
      <c r="O116" s="209"/>
      <c r="P116" s="22">
        <f t="shared" si="10"/>
        <v>0</v>
      </c>
      <c r="Q116" s="197"/>
      <c r="R116" s="197"/>
      <c r="S116" s="197"/>
      <c r="T116" s="197"/>
      <c r="U116" s="197"/>
      <c r="V116" s="197"/>
      <c r="W116" s="22"/>
      <c r="X116" s="22">
        <f t="shared" si="2"/>
        <v>1</v>
      </c>
      <c r="Y116" s="211" t="s">
        <v>634</v>
      </c>
      <c r="Z116" s="94"/>
    </row>
    <row r="117" spans="1:26" ht="31.5">
      <c r="A117" s="498"/>
      <c r="B117" s="498"/>
      <c r="C117" s="498"/>
      <c r="D117" s="43">
        <v>110</v>
      </c>
      <c r="E117" s="43" t="s">
        <v>178</v>
      </c>
      <c r="F117" s="197"/>
      <c r="G117" s="197"/>
      <c r="H117" s="197"/>
      <c r="I117" s="197"/>
      <c r="J117" s="21">
        <f t="shared" si="9"/>
        <v>0</v>
      </c>
      <c r="K117" s="209"/>
      <c r="L117" s="209"/>
      <c r="M117" s="197"/>
      <c r="N117" s="197"/>
      <c r="O117" s="209"/>
      <c r="P117" s="22">
        <f t="shared" si="10"/>
        <v>0</v>
      </c>
      <c r="Q117" s="210"/>
      <c r="R117" s="210"/>
      <c r="S117" s="209"/>
      <c r="T117" s="209"/>
      <c r="U117" s="197"/>
      <c r="V117" s="197"/>
      <c r="W117" s="22"/>
      <c r="X117" s="22">
        <f t="shared" si="2"/>
        <v>0</v>
      </c>
      <c r="Y117" s="46"/>
      <c r="Z117" s="94"/>
    </row>
    <row r="118" spans="1:26" ht="47.25" hidden="1">
      <c r="A118" s="498"/>
      <c r="B118" s="496"/>
      <c r="C118" s="496"/>
      <c r="D118" s="43">
        <v>111</v>
      </c>
      <c r="E118" s="43" t="s">
        <v>44</v>
      </c>
      <c r="F118" s="197"/>
      <c r="G118" s="197"/>
      <c r="H118" s="197"/>
      <c r="I118" s="197"/>
      <c r="J118" s="21">
        <f t="shared" si="9"/>
        <v>0</v>
      </c>
      <c r="K118" s="210"/>
      <c r="L118" s="210"/>
      <c r="M118" s="197"/>
      <c r="N118" s="197"/>
      <c r="O118" s="210"/>
      <c r="P118" s="48">
        <f t="shared" si="10"/>
        <v>0</v>
      </c>
      <c r="Q118" s="197"/>
      <c r="R118" s="197"/>
      <c r="S118" s="210"/>
      <c r="T118" s="210"/>
      <c r="U118" s="210"/>
      <c r="V118" s="210"/>
      <c r="W118" s="22"/>
      <c r="X118" s="22">
        <f t="shared" si="2"/>
        <v>0</v>
      </c>
      <c r="Y118" s="232"/>
      <c r="Z118" s="94"/>
    </row>
    <row r="119" spans="1:26" ht="31.5">
      <c r="A119" s="498"/>
      <c r="B119" s="497" t="s">
        <v>179</v>
      </c>
      <c r="C119" s="497" t="s">
        <v>180</v>
      </c>
      <c r="D119" s="43">
        <v>112</v>
      </c>
      <c r="E119" s="43" t="s">
        <v>181</v>
      </c>
      <c r="F119" s="197"/>
      <c r="G119" s="197"/>
      <c r="H119" s="197"/>
      <c r="I119" s="197"/>
      <c r="J119" s="21">
        <f t="shared" si="9"/>
        <v>0</v>
      </c>
      <c r="K119" s="209"/>
      <c r="L119" s="209"/>
      <c r="M119" s="197"/>
      <c r="N119" s="197"/>
      <c r="O119" s="209"/>
      <c r="P119" s="22">
        <f t="shared" si="10"/>
        <v>0</v>
      </c>
      <c r="Q119" s="197"/>
      <c r="R119" s="197"/>
      <c r="S119" s="197"/>
      <c r="T119" s="197"/>
      <c r="U119" s="197"/>
      <c r="V119" s="197"/>
      <c r="W119" s="22"/>
      <c r="X119" s="22">
        <f t="shared" si="2"/>
        <v>0</v>
      </c>
      <c r="Y119" s="211"/>
      <c r="Z119" s="94"/>
    </row>
    <row r="120" spans="1:26" ht="31.5">
      <c r="A120" s="498"/>
      <c r="B120" s="496"/>
      <c r="C120" s="496"/>
      <c r="D120" s="43">
        <v>113</v>
      </c>
      <c r="E120" s="43" t="s">
        <v>182</v>
      </c>
      <c r="F120" s="197"/>
      <c r="G120" s="197"/>
      <c r="H120" s="197"/>
      <c r="I120" s="197"/>
      <c r="J120" s="21">
        <f t="shared" si="9"/>
        <v>0</v>
      </c>
      <c r="K120" s="209"/>
      <c r="L120" s="209"/>
      <c r="M120" s="197"/>
      <c r="N120" s="197"/>
      <c r="O120" s="209"/>
      <c r="P120" s="22">
        <f t="shared" si="10"/>
        <v>0</v>
      </c>
      <c r="Q120" s="209"/>
      <c r="R120" s="209"/>
      <c r="S120" s="197"/>
      <c r="T120" s="197"/>
      <c r="U120" s="197"/>
      <c r="V120" s="197"/>
      <c r="W120" s="22"/>
      <c r="X120" s="22">
        <f t="shared" si="2"/>
        <v>0</v>
      </c>
      <c r="Y120" s="232"/>
      <c r="Z120" s="94"/>
    </row>
    <row r="121" spans="1:26" ht="204.75">
      <c r="A121" s="498"/>
      <c r="B121" s="43" t="s">
        <v>183</v>
      </c>
      <c r="C121" s="43" t="s">
        <v>184</v>
      </c>
      <c r="D121" s="43">
        <v>114</v>
      </c>
      <c r="E121" s="43" t="s">
        <v>185</v>
      </c>
      <c r="F121" s="197"/>
      <c r="G121" s="197"/>
      <c r="H121" s="197"/>
      <c r="I121" s="210">
        <v>7</v>
      </c>
      <c r="J121" s="48">
        <f t="shared" si="9"/>
        <v>7</v>
      </c>
      <c r="K121" s="197"/>
      <c r="L121" s="197">
        <v>0.2</v>
      </c>
      <c r="M121" s="197"/>
      <c r="N121" s="197"/>
      <c r="O121" s="197"/>
      <c r="P121" s="21">
        <f t="shared" si="10"/>
        <v>0</v>
      </c>
      <c r="Q121" s="197"/>
      <c r="R121" s="197"/>
      <c r="S121" s="197"/>
      <c r="T121" s="197">
        <v>2</v>
      </c>
      <c r="U121" s="210"/>
      <c r="V121" s="210"/>
      <c r="W121" s="22"/>
      <c r="X121" s="22">
        <f t="shared" si="2"/>
        <v>9.1999999999999993</v>
      </c>
      <c r="Y121" s="61" t="s">
        <v>635</v>
      </c>
      <c r="Z121" s="94"/>
    </row>
    <row r="122" spans="1:26" ht="31.5">
      <c r="A122" s="498"/>
      <c r="B122" s="497" t="s">
        <v>186</v>
      </c>
      <c r="C122" s="497" t="s">
        <v>187</v>
      </c>
      <c r="D122" s="43">
        <v>115</v>
      </c>
      <c r="E122" s="43" t="s">
        <v>188</v>
      </c>
      <c r="F122" s="197"/>
      <c r="G122" s="197"/>
      <c r="H122" s="197"/>
      <c r="I122" s="197"/>
      <c r="J122" s="21">
        <f t="shared" si="9"/>
        <v>0</v>
      </c>
      <c r="K122" s="197"/>
      <c r="L122" s="197"/>
      <c r="M122" s="197"/>
      <c r="N122" s="197"/>
      <c r="O122" s="197"/>
      <c r="P122" s="21">
        <f t="shared" si="10"/>
        <v>0</v>
      </c>
      <c r="Q122" s="209"/>
      <c r="R122" s="209"/>
      <c r="S122" s="197"/>
      <c r="T122" s="197">
        <v>1.5</v>
      </c>
      <c r="U122" s="197"/>
      <c r="V122" s="197"/>
      <c r="W122" s="22"/>
      <c r="X122" s="22">
        <f t="shared" si="2"/>
        <v>1.5</v>
      </c>
      <c r="Y122" s="61" t="s">
        <v>636</v>
      </c>
      <c r="Z122" s="94"/>
    </row>
    <row r="123" spans="1:26" ht="47.25">
      <c r="A123" s="498"/>
      <c r="B123" s="498"/>
      <c r="C123" s="498"/>
      <c r="D123" s="43">
        <v>116</v>
      </c>
      <c r="E123" s="43" t="s">
        <v>189</v>
      </c>
      <c r="F123" s="197"/>
      <c r="G123" s="197"/>
      <c r="H123" s="197"/>
      <c r="I123" s="197"/>
      <c r="J123" s="21">
        <f t="shared" si="9"/>
        <v>0</v>
      </c>
      <c r="K123" s="197"/>
      <c r="L123" s="197"/>
      <c r="M123" s="197"/>
      <c r="N123" s="197"/>
      <c r="O123" s="197"/>
      <c r="P123" s="21">
        <f t="shared" si="10"/>
        <v>0</v>
      </c>
      <c r="Q123" s="209"/>
      <c r="R123" s="209">
        <v>3.4</v>
      </c>
      <c r="S123" s="197"/>
      <c r="T123" s="197"/>
      <c r="U123" s="197"/>
      <c r="V123" s="197"/>
      <c r="W123" s="22"/>
      <c r="X123" s="22">
        <f t="shared" si="2"/>
        <v>3.4</v>
      </c>
      <c r="Y123" s="61" t="s">
        <v>659</v>
      </c>
      <c r="Z123" s="94"/>
    </row>
    <row r="124" spans="1:26" ht="31.5">
      <c r="A124" s="498"/>
      <c r="B124" s="498"/>
      <c r="C124" s="498"/>
      <c r="D124" s="43">
        <v>117</v>
      </c>
      <c r="E124" s="43" t="s">
        <v>190</v>
      </c>
      <c r="F124" s="197"/>
      <c r="G124" s="197"/>
      <c r="H124" s="197"/>
      <c r="I124" s="197"/>
      <c r="J124" s="21">
        <f t="shared" si="9"/>
        <v>0</v>
      </c>
      <c r="K124" s="197"/>
      <c r="L124" s="197"/>
      <c r="M124" s="197"/>
      <c r="N124" s="197"/>
      <c r="O124" s="197"/>
      <c r="P124" s="21">
        <f t="shared" si="10"/>
        <v>0</v>
      </c>
      <c r="Q124" s="197"/>
      <c r="R124" s="197"/>
      <c r="S124" s="197"/>
      <c r="T124" s="197"/>
      <c r="U124" s="197"/>
      <c r="V124" s="197"/>
      <c r="W124" s="209"/>
      <c r="X124" s="22">
        <f t="shared" si="2"/>
        <v>0</v>
      </c>
      <c r="Y124" s="46"/>
      <c r="Z124" s="94"/>
    </row>
    <row r="125" spans="1:26" ht="47.25" hidden="1">
      <c r="A125" s="498"/>
      <c r="B125" s="496"/>
      <c r="C125" s="496"/>
      <c r="D125" s="43">
        <v>118</v>
      </c>
      <c r="E125" s="43" t="s">
        <v>44</v>
      </c>
      <c r="F125" s="197"/>
      <c r="G125" s="197"/>
      <c r="H125" s="197"/>
      <c r="I125" s="197"/>
      <c r="J125" s="21">
        <f t="shared" si="9"/>
        <v>0</v>
      </c>
      <c r="K125" s="197"/>
      <c r="L125" s="197"/>
      <c r="M125" s="197"/>
      <c r="N125" s="197"/>
      <c r="O125" s="197"/>
      <c r="P125" s="21">
        <f t="shared" si="10"/>
        <v>0</v>
      </c>
      <c r="Q125" s="197"/>
      <c r="R125" s="197"/>
      <c r="S125" s="197"/>
      <c r="T125" s="197"/>
      <c r="U125" s="197"/>
      <c r="V125" s="197"/>
      <c r="W125" s="209"/>
      <c r="X125" s="22">
        <f t="shared" si="2"/>
        <v>0</v>
      </c>
      <c r="Y125" s="46"/>
      <c r="Z125" s="94"/>
    </row>
    <row r="126" spans="1:26" ht="141.75">
      <c r="A126" s="498"/>
      <c r="B126" s="43" t="s">
        <v>191</v>
      </c>
      <c r="C126" s="43" t="s">
        <v>192</v>
      </c>
      <c r="D126" s="43">
        <v>119</v>
      </c>
      <c r="E126" s="43" t="s">
        <v>193</v>
      </c>
      <c r="F126" s="197"/>
      <c r="G126" s="197"/>
      <c r="H126" s="197"/>
      <c r="I126" s="210"/>
      <c r="J126" s="48">
        <f t="shared" si="9"/>
        <v>0</v>
      </c>
      <c r="K126" s="209"/>
      <c r="L126" s="209"/>
      <c r="M126" s="197"/>
      <c r="N126" s="197"/>
      <c r="O126" s="197"/>
      <c r="P126" s="21">
        <f t="shared" si="10"/>
        <v>0</v>
      </c>
      <c r="Q126" s="197"/>
      <c r="R126" s="197"/>
      <c r="S126" s="210"/>
      <c r="T126" s="414">
        <v>5</v>
      </c>
      <c r="U126" s="197"/>
      <c r="V126" s="197"/>
      <c r="W126" s="22"/>
      <c r="X126" s="22">
        <f t="shared" si="2"/>
        <v>5</v>
      </c>
      <c r="Y126" s="61" t="s">
        <v>638</v>
      </c>
      <c r="Z126" s="94"/>
    </row>
    <row r="127" spans="1:26" ht="220.5">
      <c r="A127" s="498"/>
      <c r="B127" s="43" t="s">
        <v>194</v>
      </c>
      <c r="C127" s="43" t="s">
        <v>195</v>
      </c>
      <c r="D127" s="43">
        <v>120</v>
      </c>
      <c r="E127" s="43" t="s">
        <v>196</v>
      </c>
      <c r="F127" s="197"/>
      <c r="G127" s="197"/>
      <c r="H127" s="197"/>
      <c r="I127" s="197"/>
      <c r="J127" s="21">
        <f t="shared" si="9"/>
        <v>0</v>
      </c>
      <c r="K127" s="197"/>
      <c r="L127" s="197"/>
      <c r="M127" s="197"/>
      <c r="N127" s="197"/>
      <c r="O127" s="210"/>
      <c r="P127" s="48">
        <f t="shared" si="10"/>
        <v>0</v>
      </c>
      <c r="Q127" s="210"/>
      <c r="R127" s="210"/>
      <c r="S127" s="210"/>
      <c r="T127" s="210"/>
      <c r="U127" s="197"/>
      <c r="V127" s="197"/>
      <c r="W127" s="22"/>
      <c r="X127" s="22">
        <f t="shared" si="2"/>
        <v>0</v>
      </c>
      <c r="Y127" s="46"/>
      <c r="Z127" s="94"/>
    </row>
    <row r="128" spans="1:26" ht="31.5">
      <c r="A128" s="498"/>
      <c r="B128" s="497" t="s">
        <v>197</v>
      </c>
      <c r="C128" s="497" t="s">
        <v>198</v>
      </c>
      <c r="D128" s="43">
        <v>121</v>
      </c>
      <c r="E128" s="43" t="s">
        <v>199</v>
      </c>
      <c r="F128" s="197"/>
      <c r="G128" s="197"/>
      <c r="H128" s="197"/>
      <c r="I128" s="197"/>
      <c r="J128" s="21">
        <f t="shared" si="9"/>
        <v>0</v>
      </c>
      <c r="K128" s="209"/>
      <c r="L128" s="209"/>
      <c r="M128" s="197"/>
      <c r="N128" s="197"/>
      <c r="O128" s="197"/>
      <c r="P128" s="21">
        <f t="shared" si="10"/>
        <v>0</v>
      </c>
      <c r="Q128" s="197"/>
      <c r="R128" s="197"/>
      <c r="S128" s="197"/>
      <c r="T128" s="197"/>
      <c r="U128" s="197"/>
      <c r="V128" s="197"/>
      <c r="W128" s="22"/>
      <c r="X128" s="22">
        <f t="shared" si="2"/>
        <v>0</v>
      </c>
      <c r="Y128" s="61"/>
      <c r="Z128" s="94"/>
    </row>
    <row r="129" spans="1:26" ht="31.5">
      <c r="A129" s="498"/>
      <c r="B129" s="498"/>
      <c r="C129" s="498"/>
      <c r="D129" s="43">
        <v>122</v>
      </c>
      <c r="E129" s="43" t="s">
        <v>200</v>
      </c>
      <c r="F129" s="197"/>
      <c r="G129" s="197"/>
      <c r="H129" s="197"/>
      <c r="I129" s="197"/>
      <c r="J129" s="21">
        <f t="shared" si="9"/>
        <v>0</v>
      </c>
      <c r="K129" s="197"/>
      <c r="L129" s="197"/>
      <c r="M129" s="197"/>
      <c r="N129" s="197"/>
      <c r="O129" s="197"/>
      <c r="P129" s="21">
        <f t="shared" si="10"/>
        <v>0</v>
      </c>
      <c r="Q129" s="197"/>
      <c r="R129" s="197"/>
      <c r="S129" s="197"/>
      <c r="T129" s="197"/>
      <c r="U129" s="197"/>
      <c r="V129" s="197"/>
      <c r="W129" s="22"/>
      <c r="X129" s="22">
        <f t="shared" si="2"/>
        <v>0</v>
      </c>
      <c r="Y129" s="61"/>
      <c r="Z129" s="94"/>
    </row>
    <row r="130" spans="1:26" ht="25.5" hidden="1" customHeight="1">
      <c r="A130" s="498"/>
      <c r="B130" s="496"/>
      <c r="C130" s="496"/>
      <c r="D130" s="43">
        <v>123</v>
      </c>
      <c r="E130" s="43" t="s">
        <v>201</v>
      </c>
      <c r="F130" s="197"/>
      <c r="G130" s="197"/>
      <c r="H130" s="197"/>
      <c r="I130" s="197"/>
      <c r="J130" s="21">
        <f t="shared" si="9"/>
        <v>0</v>
      </c>
      <c r="K130" s="197"/>
      <c r="L130" s="197"/>
      <c r="M130" s="197"/>
      <c r="N130" s="197"/>
      <c r="O130" s="197"/>
      <c r="P130" s="21">
        <f t="shared" si="10"/>
        <v>0</v>
      </c>
      <c r="Q130" s="197"/>
      <c r="R130" s="197"/>
      <c r="S130" s="210"/>
      <c r="T130" s="210"/>
      <c r="U130" s="197"/>
      <c r="V130" s="197"/>
      <c r="W130" s="22"/>
      <c r="X130" s="22">
        <f t="shared" si="2"/>
        <v>0</v>
      </c>
      <c r="Y130" s="25"/>
      <c r="Z130" s="94"/>
    </row>
    <row r="131" spans="1:26" ht="31.5">
      <c r="A131" s="498"/>
      <c r="B131" s="497" t="s">
        <v>202</v>
      </c>
      <c r="C131" s="497" t="s">
        <v>203</v>
      </c>
      <c r="D131" s="43">
        <v>124</v>
      </c>
      <c r="E131" s="43" t="s">
        <v>204</v>
      </c>
      <c r="F131" s="197"/>
      <c r="G131" s="197"/>
      <c r="H131" s="197"/>
      <c r="I131" s="210"/>
      <c r="J131" s="48">
        <f t="shared" si="9"/>
        <v>0</v>
      </c>
      <c r="K131" s="197"/>
      <c r="L131" s="197"/>
      <c r="M131" s="197"/>
      <c r="N131" s="197"/>
      <c r="O131" s="197"/>
      <c r="P131" s="21">
        <f t="shared" si="10"/>
        <v>0</v>
      </c>
      <c r="Q131" s="197"/>
      <c r="R131" s="197"/>
      <c r="S131" s="197"/>
      <c r="T131" s="197"/>
      <c r="U131" s="197"/>
      <c r="V131" s="197"/>
      <c r="W131" s="22"/>
      <c r="X131" s="22">
        <f t="shared" si="2"/>
        <v>0</v>
      </c>
      <c r="Y131" s="232"/>
      <c r="Z131" s="94"/>
    </row>
    <row r="132" spans="1:26" ht="46.5" customHeight="1">
      <c r="A132" s="498"/>
      <c r="B132" s="496"/>
      <c r="C132" s="496"/>
      <c r="D132" s="43">
        <v>125</v>
      </c>
      <c r="E132" s="43" t="s">
        <v>205</v>
      </c>
      <c r="F132" s="197"/>
      <c r="G132" s="197"/>
      <c r="H132" s="197"/>
      <c r="I132" s="210"/>
      <c r="J132" s="48">
        <f t="shared" si="9"/>
        <v>0</v>
      </c>
      <c r="K132" s="197"/>
      <c r="L132" s="197"/>
      <c r="M132" s="197"/>
      <c r="N132" s="197"/>
      <c r="O132" s="197"/>
      <c r="P132" s="21">
        <f t="shared" si="10"/>
        <v>0</v>
      </c>
      <c r="Q132" s="197"/>
      <c r="R132" s="197"/>
      <c r="S132" s="197"/>
      <c r="T132" s="197"/>
      <c r="U132" s="197"/>
      <c r="V132" s="197"/>
      <c r="W132" s="22"/>
      <c r="X132" s="22">
        <f t="shared" si="2"/>
        <v>0</v>
      </c>
      <c r="Y132" s="232"/>
      <c r="Z132" s="94"/>
    </row>
    <row r="133" spans="1:26" ht="57.75" hidden="1" customHeight="1">
      <c r="A133" s="498"/>
      <c r="B133" s="43" t="s">
        <v>206</v>
      </c>
      <c r="C133" s="43" t="s">
        <v>207</v>
      </c>
      <c r="D133" s="43">
        <v>126</v>
      </c>
      <c r="E133" s="43" t="s">
        <v>142</v>
      </c>
      <c r="F133" s="182"/>
      <c r="G133" s="182"/>
      <c r="H133" s="182"/>
      <c r="I133" s="182"/>
      <c r="J133" s="21">
        <f t="shared" si="9"/>
        <v>0</v>
      </c>
      <c r="K133" s="182"/>
      <c r="L133" s="182"/>
      <c r="M133" s="182"/>
      <c r="N133" s="182"/>
      <c r="O133" s="182"/>
      <c r="P133" s="21">
        <f t="shared" si="10"/>
        <v>0</v>
      </c>
      <c r="Q133" s="182"/>
      <c r="R133" s="182"/>
      <c r="S133" s="182"/>
      <c r="T133" s="182"/>
      <c r="U133" s="182"/>
      <c r="V133" s="182"/>
      <c r="W133" s="22"/>
      <c r="X133" s="22">
        <f t="shared" si="2"/>
        <v>0</v>
      </c>
      <c r="Y133" s="46"/>
      <c r="Z133" s="94"/>
    </row>
    <row r="134" spans="1:26" ht="26.25" customHeight="1">
      <c r="A134" s="496"/>
      <c r="B134" s="501" t="s">
        <v>208</v>
      </c>
      <c r="C134" s="489"/>
      <c r="D134" s="490"/>
      <c r="E134" s="43"/>
      <c r="F134" s="74">
        <f t="shared" ref="F134:W134" si="11">SUM(F94:F133)</f>
        <v>0</v>
      </c>
      <c r="G134" s="74">
        <f t="shared" si="11"/>
        <v>0</v>
      </c>
      <c r="H134" s="74">
        <f t="shared" si="11"/>
        <v>0</v>
      </c>
      <c r="I134" s="74">
        <f t="shared" si="11"/>
        <v>7</v>
      </c>
      <c r="J134" s="74">
        <f t="shared" si="11"/>
        <v>7</v>
      </c>
      <c r="K134" s="74">
        <f t="shared" si="11"/>
        <v>0</v>
      </c>
      <c r="L134" s="74">
        <f t="shared" si="11"/>
        <v>10.199999999999999</v>
      </c>
      <c r="M134" s="74">
        <f t="shared" si="11"/>
        <v>0</v>
      </c>
      <c r="N134" s="74">
        <f t="shared" si="11"/>
        <v>0</v>
      </c>
      <c r="O134" s="60">
        <f t="shared" si="11"/>
        <v>14</v>
      </c>
      <c r="P134" s="60">
        <f t="shared" si="11"/>
        <v>14</v>
      </c>
      <c r="Q134" s="74">
        <f t="shared" si="11"/>
        <v>0</v>
      </c>
      <c r="R134" s="74">
        <f t="shared" si="11"/>
        <v>3.4</v>
      </c>
      <c r="S134" s="74">
        <f t="shared" si="11"/>
        <v>0</v>
      </c>
      <c r="T134" s="74">
        <f t="shared" si="11"/>
        <v>29.259999999999998</v>
      </c>
      <c r="U134" s="74">
        <f t="shared" si="11"/>
        <v>0</v>
      </c>
      <c r="V134" s="74">
        <f t="shared" si="11"/>
        <v>0</v>
      </c>
      <c r="W134" s="60">
        <f t="shared" si="11"/>
        <v>0</v>
      </c>
      <c r="X134" s="60">
        <f t="shared" si="2"/>
        <v>63.86</v>
      </c>
      <c r="Y134" s="87"/>
      <c r="Z134" s="94"/>
    </row>
    <row r="135" spans="1:26" ht="78.75">
      <c r="A135" s="499" t="s">
        <v>209</v>
      </c>
      <c r="B135" s="497" t="s">
        <v>210</v>
      </c>
      <c r="C135" s="497" t="s">
        <v>211</v>
      </c>
      <c r="D135" s="43">
        <v>127</v>
      </c>
      <c r="E135" s="43" t="s">
        <v>212</v>
      </c>
      <c r="F135" s="182"/>
      <c r="G135" s="182"/>
      <c r="H135" s="182"/>
      <c r="I135" s="182"/>
      <c r="J135" s="21">
        <f t="shared" ref="J135:J157" si="12">H135+I135</f>
        <v>0</v>
      </c>
      <c r="K135" s="182"/>
      <c r="L135" s="182"/>
      <c r="M135" s="182"/>
      <c r="N135" s="182"/>
      <c r="O135" s="182"/>
      <c r="P135" s="21">
        <f t="shared" ref="P135:P157" si="13">N135+O135</f>
        <v>0</v>
      </c>
      <c r="Q135" s="182"/>
      <c r="R135" s="182"/>
      <c r="S135" s="182"/>
      <c r="T135" s="182"/>
      <c r="U135" s="182"/>
      <c r="V135" s="182"/>
      <c r="W135" s="22"/>
      <c r="X135" s="22">
        <f t="shared" si="2"/>
        <v>0</v>
      </c>
      <c r="Y135" s="46"/>
      <c r="Z135" s="94"/>
    </row>
    <row r="136" spans="1:26" ht="39" customHeight="1">
      <c r="A136" s="498"/>
      <c r="B136" s="496"/>
      <c r="C136" s="496"/>
      <c r="D136" s="43">
        <v>128</v>
      </c>
      <c r="E136" s="43" t="s">
        <v>213</v>
      </c>
      <c r="F136" s="182"/>
      <c r="G136" s="182"/>
      <c r="H136" s="182"/>
      <c r="I136" s="182"/>
      <c r="J136" s="21">
        <f t="shared" si="12"/>
        <v>0</v>
      </c>
      <c r="K136" s="182"/>
      <c r="L136" s="182"/>
      <c r="M136" s="182"/>
      <c r="N136" s="182"/>
      <c r="O136" s="184"/>
      <c r="P136" s="22">
        <f t="shared" si="13"/>
        <v>0</v>
      </c>
      <c r="Q136" s="182"/>
      <c r="R136" s="182"/>
      <c r="S136" s="187"/>
      <c r="T136" s="187"/>
      <c r="U136" s="182"/>
      <c r="V136" s="182"/>
      <c r="W136" s="22"/>
      <c r="X136" s="22">
        <f t="shared" si="2"/>
        <v>0</v>
      </c>
      <c r="Y136" s="61"/>
      <c r="Z136" s="94"/>
    </row>
    <row r="137" spans="1:26" ht="47.25">
      <c r="A137" s="498"/>
      <c r="B137" s="43"/>
      <c r="C137" s="43"/>
      <c r="D137" s="43">
        <v>129</v>
      </c>
      <c r="E137" s="43" t="s">
        <v>214</v>
      </c>
      <c r="F137" s="182"/>
      <c r="G137" s="182"/>
      <c r="H137" s="182"/>
      <c r="I137" s="182"/>
      <c r="J137" s="21">
        <f t="shared" si="12"/>
        <v>0</v>
      </c>
      <c r="K137" s="182"/>
      <c r="L137" s="182"/>
      <c r="M137" s="182"/>
      <c r="N137" s="182"/>
      <c r="O137" s="182"/>
      <c r="P137" s="21">
        <f t="shared" si="13"/>
        <v>0</v>
      </c>
      <c r="Q137" s="182"/>
      <c r="R137" s="182"/>
      <c r="S137" s="182"/>
      <c r="T137" s="182"/>
      <c r="U137" s="182"/>
      <c r="V137" s="182"/>
      <c r="W137" s="22"/>
      <c r="X137" s="22">
        <f t="shared" si="2"/>
        <v>0</v>
      </c>
      <c r="Y137" s="46"/>
      <c r="Z137" s="94"/>
    </row>
    <row r="138" spans="1:26" ht="78.75">
      <c r="A138" s="498"/>
      <c r="B138" s="497" t="s">
        <v>215</v>
      </c>
      <c r="C138" s="497" t="s">
        <v>216</v>
      </c>
      <c r="D138" s="43">
        <v>130</v>
      </c>
      <c r="E138" s="43" t="s">
        <v>217</v>
      </c>
      <c r="F138" s="182"/>
      <c r="G138" s="182"/>
      <c r="H138" s="182"/>
      <c r="I138" s="182"/>
      <c r="J138" s="21">
        <f t="shared" si="12"/>
        <v>0</v>
      </c>
      <c r="K138" s="182"/>
      <c r="L138" s="182"/>
      <c r="M138" s="182"/>
      <c r="N138" s="182"/>
      <c r="O138" s="182"/>
      <c r="P138" s="21">
        <f t="shared" si="13"/>
        <v>0</v>
      </c>
      <c r="Q138" s="182"/>
      <c r="R138" s="182"/>
      <c r="S138" s="182"/>
      <c r="T138" s="182"/>
      <c r="U138" s="182"/>
      <c r="V138" s="182"/>
      <c r="W138" s="22"/>
      <c r="X138" s="22">
        <f t="shared" si="2"/>
        <v>0</v>
      </c>
      <c r="Y138" s="46"/>
      <c r="Z138" s="94"/>
    </row>
    <row r="139" spans="1:26" ht="15.75">
      <c r="A139" s="498"/>
      <c r="B139" s="498"/>
      <c r="C139" s="498"/>
      <c r="D139" s="43">
        <v>131</v>
      </c>
      <c r="E139" s="43" t="s">
        <v>218</v>
      </c>
      <c r="F139" s="182"/>
      <c r="G139" s="182"/>
      <c r="H139" s="182"/>
      <c r="I139" s="182"/>
      <c r="J139" s="21">
        <f t="shared" si="12"/>
        <v>0</v>
      </c>
      <c r="K139" s="182"/>
      <c r="L139" s="182"/>
      <c r="M139" s="182"/>
      <c r="N139" s="182"/>
      <c r="O139" s="182"/>
      <c r="P139" s="21">
        <f t="shared" si="13"/>
        <v>0</v>
      </c>
      <c r="Q139" s="182"/>
      <c r="R139" s="182"/>
      <c r="S139" s="182"/>
      <c r="T139" s="197"/>
      <c r="U139" s="182"/>
      <c r="V139" s="182"/>
      <c r="W139" s="22"/>
      <c r="X139" s="22">
        <f t="shared" si="2"/>
        <v>0</v>
      </c>
      <c r="Y139" s="61"/>
      <c r="Z139" s="94"/>
    </row>
    <row r="140" spans="1:26" ht="15.75">
      <c r="A140" s="498"/>
      <c r="B140" s="498"/>
      <c r="C140" s="498"/>
      <c r="D140" s="43">
        <v>132</v>
      </c>
      <c r="E140" s="43" t="s">
        <v>219</v>
      </c>
      <c r="F140" s="182"/>
      <c r="G140" s="182"/>
      <c r="H140" s="182"/>
      <c r="I140" s="182"/>
      <c r="J140" s="21">
        <f t="shared" si="12"/>
        <v>0</v>
      </c>
      <c r="K140" s="182"/>
      <c r="L140" s="182"/>
      <c r="M140" s="182"/>
      <c r="N140" s="182"/>
      <c r="O140" s="182"/>
      <c r="P140" s="21">
        <f t="shared" si="13"/>
        <v>0</v>
      </c>
      <c r="Q140" s="182"/>
      <c r="R140" s="182"/>
      <c r="S140" s="182"/>
      <c r="T140" s="182"/>
      <c r="U140" s="182"/>
      <c r="V140" s="182"/>
      <c r="W140" s="22"/>
      <c r="X140" s="22">
        <f t="shared" si="2"/>
        <v>0</v>
      </c>
      <c r="Y140" s="46"/>
      <c r="Z140" s="94"/>
    </row>
    <row r="141" spans="1:26" ht="15.75">
      <c r="A141" s="498"/>
      <c r="B141" s="498"/>
      <c r="C141" s="498"/>
      <c r="D141" s="43">
        <v>133</v>
      </c>
      <c r="E141" s="43" t="s">
        <v>220</v>
      </c>
      <c r="F141" s="182"/>
      <c r="G141" s="182"/>
      <c r="H141" s="182"/>
      <c r="I141" s="182"/>
      <c r="J141" s="21">
        <f t="shared" si="12"/>
        <v>0</v>
      </c>
      <c r="K141" s="182"/>
      <c r="L141" s="182"/>
      <c r="M141" s="182"/>
      <c r="N141" s="182"/>
      <c r="O141" s="182"/>
      <c r="P141" s="21">
        <f t="shared" si="13"/>
        <v>0</v>
      </c>
      <c r="Q141" s="182"/>
      <c r="R141" s="182"/>
      <c r="S141" s="182"/>
      <c r="T141" s="182"/>
      <c r="U141" s="182"/>
      <c r="V141" s="182"/>
      <c r="W141" s="22"/>
      <c r="X141" s="22">
        <f t="shared" si="2"/>
        <v>0</v>
      </c>
      <c r="Y141" s="46"/>
      <c r="Z141" s="94"/>
    </row>
    <row r="142" spans="1:26" ht="126">
      <c r="A142" s="498"/>
      <c r="B142" s="498"/>
      <c r="C142" s="498"/>
      <c r="D142" s="43">
        <v>134</v>
      </c>
      <c r="E142" s="43" t="s">
        <v>221</v>
      </c>
      <c r="F142" s="182"/>
      <c r="G142" s="182"/>
      <c r="H142" s="182"/>
      <c r="I142" s="182"/>
      <c r="J142" s="21">
        <f t="shared" si="12"/>
        <v>0</v>
      </c>
      <c r="K142" s="182"/>
      <c r="L142" s="182"/>
      <c r="M142" s="182"/>
      <c r="N142" s="182"/>
      <c r="O142" s="182"/>
      <c r="P142" s="21">
        <f t="shared" si="13"/>
        <v>0</v>
      </c>
      <c r="Q142" s="182"/>
      <c r="R142" s="182"/>
      <c r="S142" s="184"/>
      <c r="T142" s="184">
        <f>(2*0.025*12)</f>
        <v>0.60000000000000009</v>
      </c>
      <c r="U142" s="182"/>
      <c r="V142" s="182"/>
      <c r="W142" s="22"/>
      <c r="X142" s="22">
        <f t="shared" si="2"/>
        <v>0.60000000000000009</v>
      </c>
      <c r="Y142" s="55" t="s">
        <v>668</v>
      </c>
      <c r="Z142" s="94"/>
    </row>
    <row r="143" spans="1:26" ht="63">
      <c r="A143" s="498"/>
      <c r="B143" s="498"/>
      <c r="C143" s="498"/>
      <c r="D143" s="43">
        <v>135</v>
      </c>
      <c r="E143" s="43" t="s">
        <v>223</v>
      </c>
      <c r="F143" s="182"/>
      <c r="G143" s="182"/>
      <c r="H143" s="182"/>
      <c r="I143" s="182"/>
      <c r="J143" s="21">
        <f t="shared" si="12"/>
        <v>0</v>
      </c>
      <c r="K143" s="182"/>
      <c r="L143" s="182"/>
      <c r="M143" s="182"/>
      <c r="N143" s="182"/>
      <c r="O143" s="182"/>
      <c r="P143" s="21">
        <f t="shared" si="13"/>
        <v>0</v>
      </c>
      <c r="Q143" s="182"/>
      <c r="R143" s="182"/>
      <c r="S143" s="182"/>
      <c r="T143" s="182"/>
      <c r="U143" s="182"/>
      <c r="V143" s="182"/>
      <c r="W143" s="22"/>
      <c r="X143" s="22">
        <f t="shared" si="2"/>
        <v>0</v>
      </c>
      <c r="Y143" s="46"/>
      <c r="Z143" s="94"/>
    </row>
    <row r="144" spans="1:26" ht="63">
      <c r="A144" s="498"/>
      <c r="B144" s="496"/>
      <c r="C144" s="496"/>
      <c r="D144" s="43">
        <v>136</v>
      </c>
      <c r="E144" s="43" t="s">
        <v>224</v>
      </c>
      <c r="F144" s="182"/>
      <c r="G144" s="182"/>
      <c r="H144" s="182"/>
      <c r="I144" s="182"/>
      <c r="J144" s="21">
        <f t="shared" si="12"/>
        <v>0</v>
      </c>
      <c r="K144" s="182"/>
      <c r="L144" s="182"/>
      <c r="M144" s="182"/>
      <c r="N144" s="182"/>
      <c r="O144" s="182"/>
      <c r="P144" s="21">
        <f t="shared" si="13"/>
        <v>0</v>
      </c>
      <c r="Q144" s="182"/>
      <c r="R144" s="182"/>
      <c r="S144" s="184"/>
      <c r="T144" s="184"/>
      <c r="U144" s="182"/>
      <c r="V144" s="182"/>
      <c r="W144" s="22"/>
      <c r="X144" s="22">
        <f t="shared" si="2"/>
        <v>0</v>
      </c>
      <c r="Y144" s="61"/>
      <c r="Z144" s="94"/>
    </row>
    <row r="145" spans="1:26" ht="15.75">
      <c r="A145" s="498"/>
      <c r="B145" s="497" t="s">
        <v>225</v>
      </c>
      <c r="C145" s="497" t="s">
        <v>226</v>
      </c>
      <c r="D145" s="43">
        <v>137</v>
      </c>
      <c r="E145" s="43" t="s">
        <v>227</v>
      </c>
      <c r="F145" s="182"/>
      <c r="G145" s="182"/>
      <c r="H145" s="182"/>
      <c r="I145" s="182"/>
      <c r="J145" s="21">
        <f t="shared" si="12"/>
        <v>0</v>
      </c>
      <c r="K145" s="182"/>
      <c r="L145" s="182"/>
      <c r="M145" s="182"/>
      <c r="N145" s="182"/>
      <c r="O145" s="182"/>
      <c r="P145" s="21">
        <f t="shared" si="13"/>
        <v>0</v>
      </c>
      <c r="Q145" s="184"/>
      <c r="R145" s="184"/>
      <c r="S145" s="184"/>
      <c r="T145" s="184"/>
      <c r="U145" s="182"/>
      <c r="V145" s="182"/>
      <c r="W145" s="22"/>
      <c r="X145" s="22">
        <f t="shared" si="2"/>
        <v>0</v>
      </c>
      <c r="Y145" s="61"/>
      <c r="Z145" s="94"/>
    </row>
    <row r="146" spans="1:26" ht="47.25">
      <c r="A146" s="498"/>
      <c r="B146" s="496"/>
      <c r="C146" s="496"/>
      <c r="D146" s="43">
        <v>138</v>
      </c>
      <c r="E146" s="43" t="s">
        <v>228</v>
      </c>
      <c r="F146" s="182"/>
      <c r="G146" s="182"/>
      <c r="H146" s="182"/>
      <c r="I146" s="184"/>
      <c r="J146" s="22">
        <f t="shared" si="12"/>
        <v>0</v>
      </c>
      <c r="K146" s="184"/>
      <c r="L146" s="184"/>
      <c r="M146" s="182"/>
      <c r="N146" s="182"/>
      <c r="O146" s="184"/>
      <c r="P146" s="22">
        <f t="shared" si="13"/>
        <v>0</v>
      </c>
      <c r="Q146" s="184"/>
      <c r="R146" s="184"/>
      <c r="S146" s="182"/>
      <c r="T146" s="182"/>
      <c r="U146" s="182"/>
      <c r="V146" s="182"/>
      <c r="W146" s="22"/>
      <c r="X146" s="22">
        <f t="shared" si="2"/>
        <v>0</v>
      </c>
      <c r="Y146" s="61"/>
      <c r="Z146" s="94"/>
    </row>
    <row r="147" spans="1:26" ht="63">
      <c r="A147" s="498"/>
      <c r="B147" s="497" t="s">
        <v>229</v>
      </c>
      <c r="C147" s="497" t="s">
        <v>230</v>
      </c>
      <c r="D147" s="43">
        <v>139</v>
      </c>
      <c r="E147" s="43" t="s">
        <v>231</v>
      </c>
      <c r="F147" s="182"/>
      <c r="G147" s="182"/>
      <c r="H147" s="182"/>
      <c r="I147" s="182"/>
      <c r="J147" s="21">
        <f t="shared" si="12"/>
        <v>0</v>
      </c>
      <c r="K147" s="182"/>
      <c r="L147" s="182"/>
      <c r="M147" s="182"/>
      <c r="N147" s="182"/>
      <c r="O147" s="182"/>
      <c r="P147" s="21">
        <f t="shared" si="13"/>
        <v>0</v>
      </c>
      <c r="Q147" s="182"/>
      <c r="R147" s="182"/>
      <c r="S147" s="184"/>
      <c r="T147" s="184"/>
      <c r="U147" s="182"/>
      <c r="V147" s="182"/>
      <c r="W147" s="22"/>
      <c r="X147" s="22">
        <f t="shared" si="2"/>
        <v>0</v>
      </c>
      <c r="Y147" s="233"/>
      <c r="Z147" s="94"/>
    </row>
    <row r="148" spans="1:26" ht="94.5">
      <c r="A148" s="498"/>
      <c r="B148" s="498"/>
      <c r="C148" s="498"/>
      <c r="D148" s="43">
        <v>140</v>
      </c>
      <c r="E148" s="43" t="s">
        <v>232</v>
      </c>
      <c r="F148" s="182"/>
      <c r="G148" s="182"/>
      <c r="H148" s="182"/>
      <c r="I148" s="182"/>
      <c r="J148" s="21">
        <f t="shared" si="12"/>
        <v>0</v>
      </c>
      <c r="K148" s="182"/>
      <c r="L148" s="182"/>
      <c r="M148" s="182"/>
      <c r="N148" s="182"/>
      <c r="O148" s="182"/>
      <c r="P148" s="21">
        <f t="shared" si="13"/>
        <v>0</v>
      </c>
      <c r="Q148" s="182"/>
      <c r="R148" s="182"/>
      <c r="S148" s="184"/>
      <c r="T148" s="184">
        <v>0.27</v>
      </c>
      <c r="U148" s="182"/>
      <c r="V148" s="182"/>
      <c r="W148" s="22"/>
      <c r="X148" s="22">
        <f t="shared" si="2"/>
        <v>0.27</v>
      </c>
      <c r="Y148" s="234" t="s">
        <v>670</v>
      </c>
      <c r="Z148" s="94"/>
    </row>
    <row r="149" spans="1:26" ht="31.5" hidden="1">
      <c r="A149" s="498"/>
      <c r="B149" s="496"/>
      <c r="C149" s="496"/>
      <c r="D149" s="43">
        <v>141</v>
      </c>
      <c r="E149" s="43" t="s">
        <v>233</v>
      </c>
      <c r="F149" s="182"/>
      <c r="G149" s="182"/>
      <c r="H149" s="182"/>
      <c r="I149" s="182"/>
      <c r="J149" s="21">
        <f t="shared" si="12"/>
        <v>0</v>
      </c>
      <c r="K149" s="182"/>
      <c r="L149" s="182"/>
      <c r="M149" s="182"/>
      <c r="N149" s="182"/>
      <c r="O149" s="182"/>
      <c r="P149" s="21">
        <f t="shared" si="13"/>
        <v>0</v>
      </c>
      <c r="Q149" s="182"/>
      <c r="R149" s="182"/>
      <c r="S149" s="182"/>
      <c r="T149" s="182"/>
      <c r="U149" s="182"/>
      <c r="V149" s="182"/>
      <c r="W149" s="22"/>
      <c r="X149" s="22">
        <f t="shared" si="2"/>
        <v>0</v>
      </c>
      <c r="Y149" s="228"/>
      <c r="Z149" s="94"/>
    </row>
    <row r="150" spans="1:26" ht="63">
      <c r="A150" s="498"/>
      <c r="B150" s="497" t="s">
        <v>234</v>
      </c>
      <c r="C150" s="497" t="s">
        <v>235</v>
      </c>
      <c r="D150" s="43">
        <v>142</v>
      </c>
      <c r="E150" s="43" t="s">
        <v>236</v>
      </c>
      <c r="F150" s="182"/>
      <c r="G150" s="182"/>
      <c r="H150" s="182"/>
      <c r="I150" s="182"/>
      <c r="J150" s="21">
        <f t="shared" si="12"/>
        <v>0</v>
      </c>
      <c r="K150" s="182"/>
      <c r="L150" s="182"/>
      <c r="M150" s="182"/>
      <c r="N150" s="182"/>
      <c r="O150" s="182"/>
      <c r="P150" s="21">
        <f t="shared" si="13"/>
        <v>0</v>
      </c>
      <c r="Q150" s="182"/>
      <c r="R150" s="182"/>
      <c r="S150" s="204"/>
      <c r="T150" s="204">
        <v>348.88400000000001</v>
      </c>
      <c r="U150" s="182"/>
      <c r="V150" s="182"/>
      <c r="W150" s="22"/>
      <c r="X150" s="22">
        <f t="shared" si="2"/>
        <v>348.88400000000001</v>
      </c>
      <c r="Y150" s="46" t="s">
        <v>671</v>
      </c>
      <c r="Z150" s="94"/>
    </row>
    <row r="151" spans="1:26" ht="63">
      <c r="A151" s="498"/>
      <c r="B151" s="498"/>
      <c r="C151" s="498"/>
      <c r="D151" s="43">
        <v>143</v>
      </c>
      <c r="E151" s="43" t="s">
        <v>237</v>
      </c>
      <c r="F151" s="182"/>
      <c r="G151" s="182"/>
      <c r="H151" s="182"/>
      <c r="I151" s="182"/>
      <c r="J151" s="21">
        <f t="shared" si="12"/>
        <v>0</v>
      </c>
      <c r="K151" s="182"/>
      <c r="L151" s="182"/>
      <c r="M151" s="182"/>
      <c r="N151" s="182"/>
      <c r="O151" s="182"/>
      <c r="P151" s="21">
        <f t="shared" si="13"/>
        <v>0</v>
      </c>
      <c r="Q151" s="182"/>
      <c r="R151" s="182"/>
      <c r="S151" s="182"/>
      <c r="T151" s="182"/>
      <c r="U151" s="182"/>
      <c r="V151" s="182"/>
      <c r="W151" s="22"/>
      <c r="X151" s="22">
        <f t="shared" si="2"/>
        <v>0</v>
      </c>
      <c r="Y151" s="46"/>
      <c r="Z151" s="94"/>
    </row>
    <row r="152" spans="1:26" ht="31.5">
      <c r="A152" s="498"/>
      <c r="B152" s="498"/>
      <c r="C152" s="498"/>
      <c r="D152" s="43">
        <v>144</v>
      </c>
      <c r="E152" s="43" t="s">
        <v>238</v>
      </c>
      <c r="F152" s="182"/>
      <c r="G152" s="182"/>
      <c r="H152" s="182"/>
      <c r="I152" s="182"/>
      <c r="J152" s="21">
        <f t="shared" si="12"/>
        <v>0</v>
      </c>
      <c r="K152" s="182"/>
      <c r="L152" s="182"/>
      <c r="M152" s="182"/>
      <c r="N152" s="182"/>
      <c r="O152" s="182"/>
      <c r="P152" s="21">
        <f t="shared" si="13"/>
        <v>0</v>
      </c>
      <c r="Q152" s="182"/>
      <c r="R152" s="182"/>
      <c r="S152" s="182"/>
      <c r="T152" s="182"/>
      <c r="U152" s="182"/>
      <c r="V152" s="182"/>
      <c r="W152" s="22"/>
      <c r="X152" s="22">
        <f t="shared" si="2"/>
        <v>0</v>
      </c>
      <c r="Y152" s="46"/>
      <c r="Z152" s="94"/>
    </row>
    <row r="153" spans="1:26" ht="47.25">
      <c r="A153" s="498"/>
      <c r="B153" s="496"/>
      <c r="C153" s="496"/>
      <c r="D153" s="43">
        <v>145</v>
      </c>
      <c r="E153" s="43" t="s">
        <v>295</v>
      </c>
      <c r="F153" s="182"/>
      <c r="G153" s="182"/>
      <c r="H153" s="182"/>
      <c r="I153" s="182"/>
      <c r="J153" s="21">
        <f t="shared" si="12"/>
        <v>0</v>
      </c>
      <c r="K153" s="182"/>
      <c r="L153" s="182"/>
      <c r="M153" s="182"/>
      <c r="N153" s="182"/>
      <c r="O153" s="182"/>
      <c r="P153" s="21">
        <f t="shared" si="13"/>
        <v>0</v>
      </c>
      <c r="Q153" s="182"/>
      <c r="R153" s="182"/>
      <c r="S153" s="182"/>
      <c r="T153" s="182"/>
      <c r="U153" s="182"/>
      <c r="V153" s="182"/>
      <c r="W153" s="22"/>
      <c r="X153" s="22">
        <f t="shared" si="2"/>
        <v>0</v>
      </c>
      <c r="Y153" s="46"/>
      <c r="Z153" s="94"/>
    </row>
    <row r="154" spans="1:26" ht="141.75">
      <c r="A154" s="498"/>
      <c r="B154" s="43" t="s">
        <v>240</v>
      </c>
      <c r="C154" s="43" t="s">
        <v>241</v>
      </c>
      <c r="D154" s="43">
        <v>146</v>
      </c>
      <c r="E154" s="43" t="s">
        <v>242</v>
      </c>
      <c r="F154" s="182"/>
      <c r="G154" s="182"/>
      <c r="H154" s="182"/>
      <c r="I154" s="182"/>
      <c r="J154" s="21">
        <f t="shared" si="12"/>
        <v>0</v>
      </c>
      <c r="K154" s="182"/>
      <c r="L154" s="182"/>
      <c r="M154" s="182"/>
      <c r="N154" s="182"/>
      <c r="O154" s="182"/>
      <c r="P154" s="21">
        <f t="shared" si="13"/>
        <v>0</v>
      </c>
      <c r="Q154" s="182"/>
      <c r="R154" s="182"/>
      <c r="S154" s="182"/>
      <c r="T154" s="412">
        <f>(0.4*12)+(12*0.1)</f>
        <v>6.0000000000000009</v>
      </c>
      <c r="U154" s="182"/>
      <c r="V154" s="182"/>
      <c r="W154" s="22"/>
      <c r="X154" s="22">
        <f t="shared" si="2"/>
        <v>6.0000000000000009</v>
      </c>
      <c r="Y154" s="212" t="s">
        <v>672</v>
      </c>
      <c r="Z154" s="94"/>
    </row>
    <row r="155" spans="1:26" ht="31.5">
      <c r="A155" s="498"/>
      <c r="B155" s="43" t="s">
        <v>243</v>
      </c>
      <c r="C155" s="43" t="s">
        <v>244</v>
      </c>
      <c r="D155" s="43">
        <v>147</v>
      </c>
      <c r="E155" s="43" t="s">
        <v>125</v>
      </c>
      <c r="F155" s="182"/>
      <c r="G155" s="182"/>
      <c r="H155" s="182"/>
      <c r="I155" s="182"/>
      <c r="J155" s="21">
        <f t="shared" si="12"/>
        <v>0</v>
      </c>
      <c r="K155" s="182"/>
      <c r="L155" s="182"/>
      <c r="M155" s="182"/>
      <c r="N155" s="182"/>
      <c r="O155" s="182"/>
      <c r="P155" s="21">
        <f t="shared" si="13"/>
        <v>0</v>
      </c>
      <c r="Q155" s="182"/>
      <c r="R155" s="182"/>
      <c r="S155" s="182"/>
      <c r="T155" s="182"/>
      <c r="U155" s="182"/>
      <c r="V155" s="182"/>
      <c r="W155" s="22"/>
      <c r="X155" s="22">
        <f t="shared" si="2"/>
        <v>0</v>
      </c>
      <c r="Y155" s="46"/>
      <c r="Z155" s="94"/>
    </row>
    <row r="156" spans="1:26" ht="78.75" hidden="1">
      <c r="A156" s="498"/>
      <c r="B156" s="43" t="s">
        <v>245</v>
      </c>
      <c r="C156" s="43" t="s">
        <v>246</v>
      </c>
      <c r="D156" s="43">
        <v>148</v>
      </c>
      <c r="E156" s="43" t="s">
        <v>247</v>
      </c>
      <c r="F156" s="182"/>
      <c r="G156" s="182"/>
      <c r="H156" s="182"/>
      <c r="I156" s="182"/>
      <c r="J156" s="21">
        <f t="shared" si="12"/>
        <v>0</v>
      </c>
      <c r="K156" s="182"/>
      <c r="L156" s="182"/>
      <c r="M156" s="182"/>
      <c r="N156" s="182"/>
      <c r="O156" s="182"/>
      <c r="P156" s="21">
        <f t="shared" si="13"/>
        <v>0</v>
      </c>
      <c r="Q156" s="182"/>
      <c r="R156" s="182"/>
      <c r="S156" s="184"/>
      <c r="T156" s="184"/>
      <c r="U156" s="182"/>
      <c r="V156" s="182"/>
      <c r="W156" s="22"/>
      <c r="X156" s="22">
        <f t="shared" si="2"/>
        <v>0</v>
      </c>
      <c r="Y156" s="61"/>
      <c r="Z156" s="94"/>
    </row>
    <row r="157" spans="1:26" ht="94.5">
      <c r="A157" s="498"/>
      <c r="B157" s="43" t="s">
        <v>248</v>
      </c>
      <c r="C157" s="43" t="s">
        <v>249</v>
      </c>
      <c r="D157" s="43">
        <v>149</v>
      </c>
      <c r="E157" s="43" t="s">
        <v>250</v>
      </c>
      <c r="F157" s="205"/>
      <c r="G157" s="205"/>
      <c r="H157" s="205"/>
      <c r="I157" s="205"/>
      <c r="J157" s="21">
        <f t="shared" si="12"/>
        <v>0</v>
      </c>
      <c r="K157" s="205"/>
      <c r="L157" s="205"/>
      <c r="M157" s="205"/>
      <c r="N157" s="205"/>
      <c r="O157" s="205"/>
      <c r="P157" s="21">
        <f t="shared" si="13"/>
        <v>0</v>
      </c>
      <c r="Q157" s="205"/>
      <c r="R157" s="205"/>
      <c r="S157" s="184"/>
      <c r="T157" s="184">
        <f>(30*0.03)</f>
        <v>0.89999999999999991</v>
      </c>
      <c r="U157" s="205"/>
      <c r="V157" s="205"/>
      <c r="W157" s="22"/>
      <c r="X157" s="22">
        <f t="shared" si="2"/>
        <v>0.89999999999999991</v>
      </c>
      <c r="Y157" s="61" t="s">
        <v>673</v>
      </c>
      <c r="Z157" s="94"/>
    </row>
    <row r="158" spans="1:26" ht="33.75" customHeight="1">
      <c r="A158" s="496"/>
      <c r="B158" s="500" t="s">
        <v>251</v>
      </c>
      <c r="C158" s="489"/>
      <c r="D158" s="490"/>
      <c r="E158" s="59"/>
      <c r="F158" s="74">
        <f t="shared" ref="F158:W158" si="14">SUM(F135:F157)</f>
        <v>0</v>
      </c>
      <c r="G158" s="74">
        <f t="shared" si="14"/>
        <v>0</v>
      </c>
      <c r="H158" s="74">
        <f t="shared" si="14"/>
        <v>0</v>
      </c>
      <c r="I158" s="74">
        <f t="shared" si="14"/>
        <v>0</v>
      </c>
      <c r="J158" s="74">
        <f t="shared" si="14"/>
        <v>0</v>
      </c>
      <c r="K158" s="74">
        <f t="shared" si="14"/>
        <v>0</v>
      </c>
      <c r="L158" s="74">
        <f t="shared" si="14"/>
        <v>0</v>
      </c>
      <c r="M158" s="74">
        <f t="shared" si="14"/>
        <v>0</v>
      </c>
      <c r="N158" s="74">
        <f t="shared" si="14"/>
        <v>0</v>
      </c>
      <c r="O158" s="74">
        <f t="shared" si="14"/>
        <v>0</v>
      </c>
      <c r="P158" s="74">
        <f t="shared" si="14"/>
        <v>0</v>
      </c>
      <c r="Q158" s="74">
        <f t="shared" si="14"/>
        <v>0</v>
      </c>
      <c r="R158" s="74">
        <f t="shared" si="14"/>
        <v>0</v>
      </c>
      <c r="S158" s="74">
        <f t="shared" si="14"/>
        <v>0</v>
      </c>
      <c r="T158" s="74">
        <f t="shared" si="14"/>
        <v>356.654</v>
      </c>
      <c r="U158" s="74">
        <f t="shared" si="14"/>
        <v>0</v>
      </c>
      <c r="V158" s="74">
        <f t="shared" si="14"/>
        <v>0</v>
      </c>
      <c r="W158" s="60">
        <f t="shared" si="14"/>
        <v>0</v>
      </c>
      <c r="X158" s="60">
        <f t="shared" si="2"/>
        <v>356.654</v>
      </c>
      <c r="Y158" s="87"/>
      <c r="Z158" s="94"/>
    </row>
    <row r="159" spans="1:26" ht="94.5">
      <c r="A159" s="499" t="s">
        <v>252</v>
      </c>
      <c r="B159" s="497" t="s">
        <v>253</v>
      </c>
      <c r="C159" s="497" t="s">
        <v>211</v>
      </c>
      <c r="D159" s="43">
        <v>150</v>
      </c>
      <c r="E159" s="43" t="s">
        <v>239</v>
      </c>
      <c r="F159" s="182"/>
      <c r="G159" s="183"/>
      <c r="H159" s="182">
        <v>60</v>
      </c>
      <c r="I159" s="183"/>
      <c r="J159" s="48">
        <f t="shared" ref="J159:J215" si="15">H159+I159</f>
        <v>60</v>
      </c>
      <c r="K159" s="182"/>
      <c r="L159" s="182"/>
      <c r="M159" s="182"/>
      <c r="N159" s="182"/>
      <c r="O159" s="182"/>
      <c r="P159" s="21">
        <f t="shared" ref="P159:P215" si="16">N159+O159</f>
        <v>0</v>
      </c>
      <c r="Q159" s="182"/>
      <c r="R159" s="182"/>
      <c r="S159" s="183"/>
      <c r="T159" s="183">
        <v>1</v>
      </c>
      <c r="U159" s="182"/>
      <c r="V159" s="182"/>
      <c r="W159" s="22"/>
      <c r="X159" s="22">
        <f t="shared" si="2"/>
        <v>61</v>
      </c>
      <c r="Y159" s="235" t="s">
        <v>1028</v>
      </c>
      <c r="Z159" s="94"/>
    </row>
    <row r="160" spans="1:26" ht="47.25">
      <c r="A160" s="498"/>
      <c r="B160" s="498"/>
      <c r="C160" s="498"/>
      <c r="D160" s="43">
        <v>151</v>
      </c>
      <c r="E160" s="43" t="s">
        <v>254</v>
      </c>
      <c r="F160" s="182"/>
      <c r="G160" s="183"/>
      <c r="H160" s="183"/>
      <c r="I160" s="183"/>
      <c r="J160" s="48">
        <f t="shared" si="15"/>
        <v>0</v>
      </c>
      <c r="K160" s="184"/>
      <c r="L160" s="184"/>
      <c r="M160" s="182"/>
      <c r="N160" s="182"/>
      <c r="O160" s="182"/>
      <c r="P160" s="21">
        <f t="shared" si="16"/>
        <v>0</v>
      </c>
      <c r="Q160" s="182"/>
      <c r="R160" s="182"/>
      <c r="S160" s="183"/>
      <c r="T160" s="183"/>
      <c r="U160" s="182"/>
      <c r="V160" s="182"/>
      <c r="W160" s="22"/>
      <c r="X160" s="22">
        <f t="shared" si="2"/>
        <v>0</v>
      </c>
      <c r="Y160" s="46"/>
      <c r="Z160" s="94"/>
    </row>
    <row r="161" spans="1:26" ht="49.5" customHeight="1">
      <c r="A161" s="498"/>
      <c r="B161" s="498"/>
      <c r="C161" s="498"/>
      <c r="D161" s="43">
        <v>152</v>
      </c>
      <c r="E161" s="43" t="s">
        <v>255</v>
      </c>
      <c r="F161" s="182"/>
      <c r="G161" s="182"/>
      <c r="H161" s="182"/>
      <c r="I161" s="182"/>
      <c r="J161" s="21">
        <f t="shared" si="15"/>
        <v>0</v>
      </c>
      <c r="K161" s="182"/>
      <c r="L161" s="182"/>
      <c r="M161" s="182"/>
      <c r="N161" s="182"/>
      <c r="O161" s="182"/>
      <c r="P161" s="21">
        <f t="shared" si="16"/>
        <v>0</v>
      </c>
      <c r="Q161" s="182"/>
      <c r="R161" s="182"/>
      <c r="S161" s="183"/>
      <c r="T161" s="359">
        <f>200 * 3600/100000</f>
        <v>7.2</v>
      </c>
      <c r="U161" s="182"/>
      <c r="V161" s="182"/>
      <c r="W161" s="22"/>
      <c r="X161" s="22">
        <f t="shared" si="2"/>
        <v>7.2</v>
      </c>
      <c r="Y161" s="135" t="s">
        <v>1027</v>
      </c>
      <c r="Z161" s="94"/>
    </row>
    <row r="162" spans="1:26" ht="15.75">
      <c r="A162" s="498"/>
      <c r="B162" s="496"/>
      <c r="C162" s="496"/>
      <c r="D162" s="43">
        <v>153</v>
      </c>
      <c r="E162" s="43" t="s">
        <v>256</v>
      </c>
      <c r="F162" s="205"/>
      <c r="G162" s="205"/>
      <c r="H162" s="205"/>
      <c r="I162" s="205"/>
      <c r="J162" s="21">
        <f t="shared" si="15"/>
        <v>0</v>
      </c>
      <c r="K162" s="205"/>
      <c r="L162" s="205"/>
      <c r="M162" s="205"/>
      <c r="N162" s="205"/>
      <c r="O162" s="205"/>
      <c r="P162" s="21">
        <f t="shared" si="16"/>
        <v>0</v>
      </c>
      <c r="Q162" s="205"/>
      <c r="R162" s="205"/>
      <c r="S162" s="205"/>
      <c r="T162" s="205"/>
      <c r="U162" s="205"/>
      <c r="V162" s="205"/>
      <c r="W162" s="22"/>
      <c r="X162" s="22">
        <f t="shared" si="2"/>
        <v>0</v>
      </c>
      <c r="Y162" s="46"/>
      <c r="Z162" s="94"/>
    </row>
    <row r="163" spans="1:26" ht="31.5">
      <c r="A163" s="498"/>
      <c r="B163" s="497" t="s">
        <v>257</v>
      </c>
      <c r="C163" s="497" t="s">
        <v>258</v>
      </c>
      <c r="D163" s="43">
        <v>154</v>
      </c>
      <c r="E163" s="43" t="s">
        <v>259</v>
      </c>
      <c r="F163" s="182"/>
      <c r="G163" s="182"/>
      <c r="H163" s="182"/>
      <c r="I163" s="182"/>
      <c r="J163" s="21">
        <f t="shared" si="15"/>
        <v>0</v>
      </c>
      <c r="K163" s="182"/>
      <c r="L163" s="182"/>
      <c r="M163" s="182"/>
      <c r="N163" s="182"/>
      <c r="O163" s="184"/>
      <c r="P163" s="22">
        <f t="shared" si="16"/>
        <v>0</v>
      </c>
      <c r="Q163" s="184"/>
      <c r="R163" s="184"/>
      <c r="S163" s="182"/>
      <c r="T163" s="182"/>
      <c r="U163" s="182"/>
      <c r="V163" s="182"/>
      <c r="W163" s="22"/>
      <c r="X163" s="22">
        <f t="shared" si="2"/>
        <v>0</v>
      </c>
      <c r="Y163" s="46"/>
      <c r="Z163" s="94"/>
    </row>
    <row r="164" spans="1:26" ht="47.25">
      <c r="A164" s="498"/>
      <c r="B164" s="498"/>
      <c r="C164" s="498"/>
      <c r="D164" s="43">
        <v>155</v>
      </c>
      <c r="E164" s="43" t="s">
        <v>260</v>
      </c>
      <c r="F164" s="182"/>
      <c r="G164" s="182"/>
      <c r="H164" s="182"/>
      <c r="I164" s="182"/>
      <c r="J164" s="21">
        <f t="shared" si="15"/>
        <v>0</v>
      </c>
      <c r="K164" s="182"/>
      <c r="L164" s="182"/>
      <c r="M164" s="182"/>
      <c r="N164" s="182"/>
      <c r="O164" s="182"/>
      <c r="P164" s="21">
        <f t="shared" si="16"/>
        <v>0</v>
      </c>
      <c r="Q164" s="182"/>
      <c r="R164" s="182"/>
      <c r="S164" s="183"/>
      <c r="T164" s="183"/>
      <c r="U164" s="182"/>
      <c r="V164" s="182"/>
      <c r="W164" s="22"/>
      <c r="X164" s="22">
        <f t="shared" si="2"/>
        <v>0</v>
      </c>
      <c r="Y164" s="46"/>
      <c r="Z164" s="94"/>
    </row>
    <row r="165" spans="1:26" ht="44.25" customHeight="1">
      <c r="A165" s="498"/>
      <c r="B165" s="498"/>
      <c r="C165" s="498"/>
      <c r="D165" s="43">
        <v>156</v>
      </c>
      <c r="E165" s="43" t="s">
        <v>261</v>
      </c>
      <c r="F165" s="182"/>
      <c r="G165" s="182"/>
      <c r="H165" s="182"/>
      <c r="I165" s="183"/>
      <c r="J165" s="48">
        <f t="shared" si="15"/>
        <v>0</v>
      </c>
      <c r="K165" s="184"/>
      <c r="L165" s="184"/>
      <c r="M165" s="182"/>
      <c r="N165" s="182"/>
      <c r="O165" s="182"/>
      <c r="P165" s="21">
        <f t="shared" si="16"/>
        <v>0</v>
      </c>
      <c r="Q165" s="182"/>
      <c r="R165" s="182"/>
      <c r="S165" s="183"/>
      <c r="T165" s="210">
        <v>1</v>
      </c>
      <c r="U165" s="67"/>
      <c r="V165" s="182"/>
      <c r="W165" s="22"/>
      <c r="X165" s="22">
        <f t="shared" si="2"/>
        <v>1</v>
      </c>
      <c r="Y165" s="46" t="s">
        <v>811</v>
      </c>
      <c r="Z165" s="94"/>
    </row>
    <row r="166" spans="1:26" ht="47.25">
      <c r="A166" s="498"/>
      <c r="B166" s="498"/>
      <c r="C166" s="498"/>
      <c r="D166" s="43">
        <v>157</v>
      </c>
      <c r="E166" s="43" t="s">
        <v>262</v>
      </c>
      <c r="F166" s="182"/>
      <c r="G166" s="182"/>
      <c r="H166" s="182"/>
      <c r="I166" s="182"/>
      <c r="J166" s="21">
        <f t="shared" si="15"/>
        <v>0</v>
      </c>
      <c r="K166" s="182"/>
      <c r="L166" s="182"/>
      <c r="M166" s="182"/>
      <c r="N166" s="182"/>
      <c r="O166" s="182"/>
      <c r="P166" s="21">
        <f t="shared" si="16"/>
        <v>0</v>
      </c>
      <c r="Q166" s="182"/>
      <c r="R166" s="182"/>
      <c r="S166" s="182"/>
      <c r="T166" s="182"/>
      <c r="U166" s="182"/>
      <c r="V166" s="182"/>
      <c r="W166" s="22"/>
      <c r="X166" s="22">
        <f t="shared" si="2"/>
        <v>0</v>
      </c>
      <c r="Y166" s="46"/>
      <c r="Z166" s="94"/>
    </row>
    <row r="167" spans="1:26" ht="63">
      <c r="A167" s="498"/>
      <c r="B167" s="496"/>
      <c r="C167" s="496"/>
      <c r="D167" s="43">
        <v>158</v>
      </c>
      <c r="E167" s="43" t="s">
        <v>263</v>
      </c>
      <c r="F167" s="182"/>
      <c r="G167" s="182"/>
      <c r="H167" s="182"/>
      <c r="I167" s="182"/>
      <c r="J167" s="21">
        <f t="shared" si="15"/>
        <v>0</v>
      </c>
      <c r="K167" s="182"/>
      <c r="L167" s="182"/>
      <c r="M167" s="182"/>
      <c r="N167" s="182"/>
      <c r="O167" s="182"/>
      <c r="P167" s="21">
        <f t="shared" si="16"/>
        <v>0</v>
      </c>
      <c r="Q167" s="182"/>
      <c r="R167" s="182"/>
      <c r="S167" s="182"/>
      <c r="T167" s="182">
        <v>1.2</v>
      </c>
      <c r="U167" s="182"/>
      <c r="V167" s="182"/>
      <c r="W167" s="22"/>
      <c r="X167" s="22">
        <f t="shared" si="2"/>
        <v>1.2</v>
      </c>
      <c r="Y167" s="46" t="s">
        <v>816</v>
      </c>
      <c r="Z167" s="94"/>
    </row>
    <row r="168" spans="1:26" ht="94.5">
      <c r="A168" s="498"/>
      <c r="B168" s="497" t="s">
        <v>264</v>
      </c>
      <c r="C168" s="497" t="s">
        <v>216</v>
      </c>
      <c r="D168" s="43">
        <v>159</v>
      </c>
      <c r="E168" s="43" t="s">
        <v>217</v>
      </c>
      <c r="F168" s="182"/>
      <c r="G168" s="182"/>
      <c r="H168" s="182"/>
      <c r="I168" s="182"/>
      <c r="J168" s="21">
        <f t="shared" si="15"/>
        <v>0</v>
      </c>
      <c r="K168" s="182"/>
      <c r="L168" s="182"/>
      <c r="M168" s="182"/>
      <c r="N168" s="182"/>
      <c r="O168" s="184"/>
      <c r="P168" s="22">
        <f t="shared" si="16"/>
        <v>0</v>
      </c>
      <c r="Q168" s="182"/>
      <c r="R168" s="182"/>
      <c r="S168" s="183"/>
      <c r="T168" s="110">
        <v>22.728000000000002</v>
      </c>
      <c r="U168" s="182"/>
      <c r="V168" s="182"/>
      <c r="W168" s="22"/>
      <c r="X168" s="22">
        <f t="shared" si="2"/>
        <v>22.728000000000002</v>
      </c>
      <c r="Y168" s="46" t="s">
        <v>1004</v>
      </c>
      <c r="Z168" s="94"/>
    </row>
    <row r="169" spans="1:26" ht="15.75">
      <c r="A169" s="498"/>
      <c r="B169" s="498"/>
      <c r="C169" s="498"/>
      <c r="D169" s="43">
        <v>160</v>
      </c>
      <c r="E169" s="43" t="s">
        <v>265</v>
      </c>
      <c r="F169" s="182"/>
      <c r="G169" s="182"/>
      <c r="H169" s="182"/>
      <c r="I169" s="182"/>
      <c r="J169" s="21">
        <f t="shared" si="15"/>
        <v>0</v>
      </c>
      <c r="K169" s="182"/>
      <c r="L169" s="182"/>
      <c r="M169" s="182"/>
      <c r="N169" s="182"/>
      <c r="O169" s="182"/>
      <c r="P169" s="21">
        <f t="shared" si="16"/>
        <v>0</v>
      </c>
      <c r="Q169" s="182"/>
      <c r="R169" s="182"/>
      <c r="S169" s="182"/>
      <c r="T169" s="182"/>
      <c r="U169" s="182"/>
      <c r="V169" s="182"/>
      <c r="W169" s="22"/>
      <c r="X169" s="22">
        <f t="shared" si="2"/>
        <v>0</v>
      </c>
      <c r="Y169" s="211"/>
      <c r="Z169" s="94"/>
    </row>
    <row r="170" spans="1:26" ht="15.75">
      <c r="A170" s="498"/>
      <c r="B170" s="498"/>
      <c r="C170" s="498"/>
      <c r="D170" s="43">
        <v>161</v>
      </c>
      <c r="E170" s="43" t="s">
        <v>219</v>
      </c>
      <c r="F170" s="182"/>
      <c r="G170" s="182"/>
      <c r="H170" s="182"/>
      <c r="I170" s="182"/>
      <c r="J170" s="21">
        <f t="shared" si="15"/>
        <v>0</v>
      </c>
      <c r="K170" s="182"/>
      <c r="L170" s="182"/>
      <c r="M170" s="182"/>
      <c r="N170" s="182"/>
      <c r="O170" s="182"/>
      <c r="P170" s="21">
        <f t="shared" si="16"/>
        <v>0</v>
      </c>
      <c r="Q170" s="182"/>
      <c r="R170" s="182"/>
      <c r="S170" s="182"/>
      <c r="T170" s="182"/>
      <c r="U170" s="182"/>
      <c r="V170" s="182"/>
      <c r="W170" s="22"/>
      <c r="X170" s="22">
        <f t="shared" si="2"/>
        <v>0</v>
      </c>
      <c r="Y170" s="46"/>
      <c r="Z170" s="94"/>
    </row>
    <row r="171" spans="1:26" ht="15.75">
      <c r="A171" s="498"/>
      <c r="B171" s="498"/>
      <c r="C171" s="498"/>
      <c r="D171" s="43">
        <v>162</v>
      </c>
      <c r="E171" s="43" t="s">
        <v>220</v>
      </c>
      <c r="F171" s="182"/>
      <c r="G171" s="182"/>
      <c r="H171" s="182"/>
      <c r="I171" s="182"/>
      <c r="J171" s="21">
        <f t="shared" si="15"/>
        <v>0</v>
      </c>
      <c r="K171" s="182"/>
      <c r="L171" s="182"/>
      <c r="M171" s="182"/>
      <c r="N171" s="182"/>
      <c r="O171" s="182"/>
      <c r="P171" s="21">
        <f t="shared" si="16"/>
        <v>0</v>
      </c>
      <c r="Q171" s="182"/>
      <c r="R171" s="182"/>
      <c r="S171" s="182"/>
      <c r="T171" s="182"/>
      <c r="U171" s="182"/>
      <c r="V171" s="182"/>
      <c r="W171" s="22"/>
      <c r="X171" s="22">
        <f t="shared" si="2"/>
        <v>0</v>
      </c>
      <c r="Y171" s="46"/>
      <c r="Z171" s="94"/>
    </row>
    <row r="172" spans="1:26" ht="63">
      <c r="A172" s="498"/>
      <c r="B172" s="496"/>
      <c r="C172" s="496"/>
      <c r="D172" s="43">
        <v>163</v>
      </c>
      <c r="E172" s="43" t="s">
        <v>266</v>
      </c>
      <c r="F172" s="182"/>
      <c r="G172" s="182"/>
      <c r="H172" s="182"/>
      <c r="I172" s="182"/>
      <c r="J172" s="21">
        <f t="shared" si="15"/>
        <v>0</v>
      </c>
      <c r="K172" s="182"/>
      <c r="L172" s="182"/>
      <c r="M172" s="182"/>
      <c r="N172" s="182"/>
      <c r="O172" s="182"/>
      <c r="P172" s="21">
        <f t="shared" si="16"/>
        <v>0</v>
      </c>
      <c r="Q172" s="182"/>
      <c r="R172" s="182"/>
      <c r="S172" s="183"/>
      <c r="T172" s="183"/>
      <c r="U172" s="182"/>
      <c r="V172" s="182"/>
      <c r="W172" s="22"/>
      <c r="X172" s="22">
        <f t="shared" si="2"/>
        <v>0</v>
      </c>
      <c r="Y172" s="61"/>
      <c r="Z172" s="94"/>
    </row>
    <row r="173" spans="1:26" ht="31.5">
      <c r="A173" s="498"/>
      <c r="B173" s="497" t="s">
        <v>267</v>
      </c>
      <c r="C173" s="497" t="s">
        <v>268</v>
      </c>
      <c r="D173" s="43">
        <v>164</v>
      </c>
      <c r="E173" s="43" t="s">
        <v>269</v>
      </c>
      <c r="F173" s="182"/>
      <c r="G173" s="183"/>
      <c r="H173" s="183"/>
      <c r="I173" s="183"/>
      <c r="J173" s="48">
        <f t="shared" si="15"/>
        <v>0</v>
      </c>
      <c r="K173" s="182"/>
      <c r="L173" s="182"/>
      <c r="M173" s="182"/>
      <c r="N173" s="182"/>
      <c r="O173" s="182"/>
      <c r="P173" s="21">
        <f t="shared" si="16"/>
        <v>0</v>
      </c>
      <c r="Q173" s="182"/>
      <c r="R173" s="182"/>
      <c r="S173" s="182"/>
      <c r="T173" s="182"/>
      <c r="U173" s="182"/>
      <c r="V173" s="182"/>
      <c r="W173" s="22"/>
      <c r="X173" s="22">
        <f t="shared" si="2"/>
        <v>0</v>
      </c>
      <c r="Y173" s="46"/>
      <c r="Z173" s="94"/>
    </row>
    <row r="174" spans="1:26" ht="31.5">
      <c r="A174" s="498"/>
      <c r="B174" s="498"/>
      <c r="C174" s="498"/>
      <c r="D174" s="43">
        <v>165</v>
      </c>
      <c r="E174" s="43" t="s">
        <v>270</v>
      </c>
      <c r="F174" s="182"/>
      <c r="G174" s="183"/>
      <c r="H174" s="183"/>
      <c r="I174" s="183"/>
      <c r="J174" s="48">
        <f t="shared" si="15"/>
        <v>0</v>
      </c>
      <c r="K174" s="182"/>
      <c r="L174" s="182"/>
      <c r="M174" s="182"/>
      <c r="N174" s="182"/>
      <c r="O174" s="182"/>
      <c r="P174" s="21">
        <f t="shared" si="16"/>
        <v>0</v>
      </c>
      <c r="Q174" s="182"/>
      <c r="R174" s="182"/>
      <c r="S174" s="182"/>
      <c r="T174" s="182"/>
      <c r="U174" s="182"/>
      <c r="V174" s="182"/>
      <c r="W174" s="22"/>
      <c r="X174" s="22">
        <f t="shared" si="2"/>
        <v>0</v>
      </c>
      <c r="Y174" s="46"/>
      <c r="Z174" s="94"/>
    </row>
    <row r="175" spans="1:26" ht="31.5">
      <c r="A175" s="498"/>
      <c r="B175" s="498"/>
      <c r="C175" s="498"/>
      <c r="D175" s="43">
        <v>166</v>
      </c>
      <c r="E175" s="43" t="s">
        <v>271</v>
      </c>
      <c r="F175" s="182"/>
      <c r="G175" s="183"/>
      <c r="H175" s="183"/>
      <c r="I175" s="183"/>
      <c r="J175" s="48">
        <f t="shared" si="15"/>
        <v>0</v>
      </c>
      <c r="K175" s="182"/>
      <c r="L175" s="182"/>
      <c r="M175" s="182"/>
      <c r="N175" s="182"/>
      <c r="O175" s="182"/>
      <c r="P175" s="21">
        <f t="shared" si="16"/>
        <v>0</v>
      </c>
      <c r="Q175" s="182"/>
      <c r="R175" s="182"/>
      <c r="S175" s="182"/>
      <c r="T175" s="182"/>
      <c r="U175" s="182"/>
      <c r="V175" s="182"/>
      <c r="W175" s="22"/>
      <c r="X175" s="22">
        <f t="shared" si="2"/>
        <v>0</v>
      </c>
      <c r="Y175" s="46"/>
      <c r="Z175" s="94"/>
    </row>
    <row r="176" spans="1:26" ht="31.5">
      <c r="A176" s="498"/>
      <c r="B176" s="498"/>
      <c r="C176" s="498"/>
      <c r="D176" s="43">
        <v>167</v>
      </c>
      <c r="E176" s="43" t="s">
        <v>272</v>
      </c>
      <c r="F176" s="182"/>
      <c r="G176" s="183"/>
      <c r="H176" s="183"/>
      <c r="I176" s="183"/>
      <c r="J176" s="48">
        <f t="shared" si="15"/>
        <v>0</v>
      </c>
      <c r="K176" s="182"/>
      <c r="L176" s="182"/>
      <c r="M176" s="182"/>
      <c r="N176" s="182"/>
      <c r="O176" s="182"/>
      <c r="P176" s="21">
        <f t="shared" si="16"/>
        <v>0</v>
      </c>
      <c r="Q176" s="182"/>
      <c r="R176" s="182"/>
      <c r="S176" s="182"/>
      <c r="T176" s="182"/>
      <c r="U176" s="182"/>
      <c r="V176" s="182"/>
      <c r="W176" s="22"/>
      <c r="X176" s="22">
        <f t="shared" si="2"/>
        <v>0</v>
      </c>
      <c r="Y176" s="46"/>
      <c r="Z176" s="94"/>
    </row>
    <row r="177" spans="1:26" ht="31.5">
      <c r="A177" s="498"/>
      <c r="B177" s="498"/>
      <c r="C177" s="498"/>
      <c r="D177" s="43">
        <v>168</v>
      </c>
      <c r="E177" s="43" t="s">
        <v>273</v>
      </c>
      <c r="F177" s="182"/>
      <c r="G177" s="183"/>
      <c r="H177" s="183"/>
      <c r="I177" s="183"/>
      <c r="J177" s="48">
        <f t="shared" si="15"/>
        <v>0</v>
      </c>
      <c r="K177" s="182"/>
      <c r="L177" s="182"/>
      <c r="M177" s="182"/>
      <c r="N177" s="182"/>
      <c r="O177" s="182"/>
      <c r="P177" s="21">
        <f t="shared" si="16"/>
        <v>0</v>
      </c>
      <c r="Q177" s="182"/>
      <c r="R177" s="182"/>
      <c r="S177" s="182"/>
      <c r="T177" s="182"/>
      <c r="U177" s="182"/>
      <c r="V177" s="182"/>
      <c r="W177" s="22"/>
      <c r="X177" s="22">
        <f t="shared" si="2"/>
        <v>0</v>
      </c>
      <c r="Y177" s="46"/>
      <c r="Z177" s="94"/>
    </row>
    <row r="178" spans="1:26" ht="78.75">
      <c r="A178" s="498"/>
      <c r="B178" s="498"/>
      <c r="C178" s="498"/>
      <c r="D178" s="43">
        <v>169</v>
      </c>
      <c r="E178" s="43" t="s">
        <v>274</v>
      </c>
      <c r="F178" s="182"/>
      <c r="G178" s="183"/>
      <c r="H178" s="183"/>
      <c r="I178" s="183"/>
      <c r="J178" s="48">
        <f t="shared" si="15"/>
        <v>0</v>
      </c>
      <c r="K178" s="184"/>
      <c r="L178" s="184"/>
      <c r="M178" s="182"/>
      <c r="N178" s="182"/>
      <c r="O178" s="182"/>
      <c r="P178" s="21">
        <f t="shared" si="16"/>
        <v>0</v>
      </c>
      <c r="Q178" s="182"/>
      <c r="R178" s="182"/>
      <c r="S178" s="182"/>
      <c r="T178" s="182"/>
      <c r="U178" s="182"/>
      <c r="V178" s="182"/>
      <c r="W178" s="22"/>
      <c r="X178" s="22">
        <f t="shared" si="2"/>
        <v>0</v>
      </c>
      <c r="Y178" s="46"/>
      <c r="Z178" s="94"/>
    </row>
    <row r="179" spans="1:26" ht="94.5">
      <c r="A179" s="498"/>
      <c r="B179" s="496"/>
      <c r="C179" s="496"/>
      <c r="D179" s="43">
        <v>170</v>
      </c>
      <c r="E179" s="43" t="s">
        <v>275</v>
      </c>
      <c r="F179" s="182"/>
      <c r="G179" s="182"/>
      <c r="H179" s="182"/>
      <c r="I179" s="182"/>
      <c r="J179" s="21">
        <f t="shared" si="15"/>
        <v>0</v>
      </c>
      <c r="K179" s="182"/>
      <c r="L179" s="182"/>
      <c r="M179" s="182"/>
      <c r="N179" s="182"/>
      <c r="O179" s="182"/>
      <c r="P179" s="21">
        <f t="shared" si="16"/>
        <v>0</v>
      </c>
      <c r="Q179" s="182"/>
      <c r="R179" s="182"/>
      <c r="S179" s="182"/>
      <c r="T179" s="182"/>
      <c r="U179" s="182"/>
      <c r="V179" s="182"/>
      <c r="W179" s="22"/>
      <c r="X179" s="22">
        <f t="shared" si="2"/>
        <v>0</v>
      </c>
      <c r="Y179" s="46"/>
      <c r="Z179" s="94"/>
    </row>
    <row r="180" spans="1:26" ht="47.25">
      <c r="A180" s="498"/>
      <c r="B180" s="497" t="s">
        <v>276</v>
      </c>
      <c r="C180" s="497" t="s">
        <v>277</v>
      </c>
      <c r="D180" s="43">
        <v>171</v>
      </c>
      <c r="E180" s="43" t="s">
        <v>278</v>
      </c>
      <c r="F180" s="182"/>
      <c r="G180" s="182"/>
      <c r="H180" s="182"/>
      <c r="I180" s="182"/>
      <c r="J180" s="21">
        <f t="shared" si="15"/>
        <v>0</v>
      </c>
      <c r="K180" s="182"/>
      <c r="L180" s="182"/>
      <c r="M180" s="182"/>
      <c r="N180" s="182"/>
      <c r="O180" s="182"/>
      <c r="P180" s="21">
        <f t="shared" si="16"/>
        <v>0</v>
      </c>
      <c r="Q180" s="182"/>
      <c r="R180" s="182"/>
      <c r="S180" s="182"/>
      <c r="T180" s="182"/>
      <c r="U180" s="182"/>
      <c r="V180" s="182"/>
      <c r="W180" s="22"/>
      <c r="X180" s="22">
        <f t="shared" si="2"/>
        <v>0</v>
      </c>
      <c r="Y180" s="46"/>
      <c r="Z180" s="94"/>
    </row>
    <row r="181" spans="1:26" ht="47.25">
      <c r="A181" s="498"/>
      <c r="B181" s="498"/>
      <c r="C181" s="498"/>
      <c r="D181" s="43">
        <v>172</v>
      </c>
      <c r="E181" s="43" t="s">
        <v>279</v>
      </c>
      <c r="F181" s="182"/>
      <c r="G181" s="182"/>
      <c r="H181" s="182"/>
      <c r="I181" s="182"/>
      <c r="J181" s="21">
        <f t="shared" si="15"/>
        <v>0</v>
      </c>
      <c r="K181" s="182"/>
      <c r="L181" s="182"/>
      <c r="M181" s="182"/>
      <c r="N181" s="182"/>
      <c r="O181" s="182"/>
      <c r="P181" s="21">
        <f t="shared" si="16"/>
        <v>0</v>
      </c>
      <c r="Q181" s="182"/>
      <c r="R181" s="182"/>
      <c r="S181" s="184"/>
      <c r="T181" s="184"/>
      <c r="U181" s="182"/>
      <c r="V181" s="182"/>
      <c r="W181" s="22"/>
      <c r="X181" s="22">
        <f t="shared" si="2"/>
        <v>0</v>
      </c>
      <c r="Y181" s="46"/>
      <c r="Z181" s="94"/>
    </row>
    <row r="182" spans="1:26" ht="47.25">
      <c r="A182" s="498"/>
      <c r="B182" s="498"/>
      <c r="C182" s="498"/>
      <c r="D182" s="43">
        <v>173</v>
      </c>
      <c r="E182" s="43" t="s">
        <v>280</v>
      </c>
      <c r="F182" s="182"/>
      <c r="G182" s="182"/>
      <c r="H182" s="182"/>
      <c r="I182" s="182"/>
      <c r="J182" s="21">
        <f t="shared" si="15"/>
        <v>0</v>
      </c>
      <c r="K182" s="182"/>
      <c r="L182" s="182"/>
      <c r="M182" s="182"/>
      <c r="N182" s="182"/>
      <c r="O182" s="182"/>
      <c r="P182" s="21">
        <f t="shared" si="16"/>
        <v>0</v>
      </c>
      <c r="Q182" s="182"/>
      <c r="R182" s="182"/>
      <c r="S182" s="182"/>
      <c r="T182" s="182"/>
      <c r="U182" s="182"/>
      <c r="V182" s="182"/>
      <c r="W182" s="22"/>
      <c r="X182" s="22">
        <f t="shared" si="2"/>
        <v>0</v>
      </c>
      <c r="Y182" s="46"/>
      <c r="Z182" s="94"/>
    </row>
    <row r="183" spans="1:26" ht="31.5">
      <c r="A183" s="498"/>
      <c r="B183" s="496"/>
      <c r="C183" s="496"/>
      <c r="D183" s="43">
        <v>174</v>
      </c>
      <c r="E183" s="43" t="s">
        <v>281</v>
      </c>
      <c r="F183" s="182"/>
      <c r="G183" s="182"/>
      <c r="H183" s="182"/>
      <c r="I183" s="182"/>
      <c r="J183" s="21">
        <f t="shared" si="15"/>
        <v>0</v>
      </c>
      <c r="K183" s="182"/>
      <c r="L183" s="182"/>
      <c r="M183" s="182"/>
      <c r="N183" s="182"/>
      <c r="O183" s="182"/>
      <c r="P183" s="21">
        <f t="shared" si="16"/>
        <v>0</v>
      </c>
      <c r="Q183" s="182"/>
      <c r="R183" s="182"/>
      <c r="S183" s="184"/>
      <c r="T183" s="184"/>
      <c r="U183" s="182"/>
      <c r="V183" s="182"/>
      <c r="W183" s="22"/>
      <c r="X183" s="22">
        <f t="shared" si="2"/>
        <v>0</v>
      </c>
      <c r="Y183" s="46"/>
      <c r="Z183" s="94"/>
    </row>
    <row r="184" spans="1:26" ht="189">
      <c r="A184" s="498"/>
      <c r="B184" s="497" t="s">
        <v>282</v>
      </c>
      <c r="C184" s="497" t="s">
        <v>230</v>
      </c>
      <c r="D184" s="43">
        <v>175</v>
      </c>
      <c r="E184" s="43" t="s">
        <v>231</v>
      </c>
      <c r="F184" s="186"/>
      <c r="G184" s="186"/>
      <c r="H184" s="186"/>
      <c r="I184" s="186"/>
      <c r="J184" s="21">
        <f t="shared" si="15"/>
        <v>0</v>
      </c>
      <c r="K184" s="185"/>
      <c r="L184" s="185"/>
      <c r="M184" s="186"/>
      <c r="N184" s="186"/>
      <c r="O184" s="186"/>
      <c r="P184" s="21">
        <f t="shared" si="16"/>
        <v>0</v>
      </c>
      <c r="Q184" s="186"/>
      <c r="R184" s="186"/>
      <c r="S184" s="185"/>
      <c r="T184" s="185">
        <v>27.71</v>
      </c>
      <c r="U184" s="185"/>
      <c r="V184" s="185"/>
      <c r="W184" s="22"/>
      <c r="X184" s="22">
        <f t="shared" si="2"/>
        <v>27.71</v>
      </c>
      <c r="Y184" s="46" t="s">
        <v>699</v>
      </c>
      <c r="Z184" s="94"/>
    </row>
    <row r="185" spans="1:26" ht="409.5">
      <c r="A185" s="498"/>
      <c r="B185" s="498"/>
      <c r="C185" s="498"/>
      <c r="D185" s="43">
        <v>176</v>
      </c>
      <c r="E185" s="43" t="s">
        <v>232</v>
      </c>
      <c r="F185" s="182"/>
      <c r="G185" s="182"/>
      <c r="H185" s="182"/>
      <c r="I185" s="182"/>
      <c r="J185" s="21">
        <f t="shared" si="15"/>
        <v>0</v>
      </c>
      <c r="K185" s="182"/>
      <c r="L185" s="182"/>
      <c r="M185" s="182"/>
      <c r="N185" s="182"/>
      <c r="O185" s="182"/>
      <c r="P185" s="21">
        <f t="shared" si="16"/>
        <v>0</v>
      </c>
      <c r="Q185" s="183"/>
      <c r="R185" s="183">
        <v>4</v>
      </c>
      <c r="S185" s="183"/>
      <c r="T185" s="183">
        <v>7.69</v>
      </c>
      <c r="U185" s="182"/>
      <c r="V185" s="182"/>
      <c r="W185" s="22"/>
      <c r="X185" s="22">
        <f t="shared" si="2"/>
        <v>11.690000000000001</v>
      </c>
      <c r="Y185" s="61" t="s">
        <v>700</v>
      </c>
      <c r="Z185" s="94"/>
    </row>
    <row r="186" spans="1:26" ht="29.25" hidden="1" customHeight="1">
      <c r="A186" s="498"/>
      <c r="B186" s="496"/>
      <c r="C186" s="496"/>
      <c r="D186" s="43">
        <v>177</v>
      </c>
      <c r="E186" s="43" t="s">
        <v>233</v>
      </c>
      <c r="F186" s="182"/>
      <c r="G186" s="182"/>
      <c r="H186" s="182"/>
      <c r="I186" s="182"/>
      <c r="J186" s="21">
        <f t="shared" si="15"/>
        <v>0</v>
      </c>
      <c r="K186" s="182"/>
      <c r="L186" s="182"/>
      <c r="M186" s="182"/>
      <c r="N186" s="182"/>
      <c r="O186" s="182"/>
      <c r="P186" s="21">
        <f t="shared" si="16"/>
        <v>0</v>
      </c>
      <c r="Q186" s="182"/>
      <c r="R186" s="182"/>
      <c r="S186" s="182"/>
      <c r="T186" s="182"/>
      <c r="U186" s="182"/>
      <c r="V186" s="182"/>
      <c r="W186" s="22"/>
      <c r="X186" s="22">
        <f t="shared" si="2"/>
        <v>0</v>
      </c>
      <c r="Y186" s="61"/>
      <c r="Z186" s="94"/>
    </row>
    <row r="187" spans="1:26" ht="63">
      <c r="A187" s="498"/>
      <c r="B187" s="497" t="s">
        <v>283</v>
      </c>
      <c r="C187" s="497" t="s">
        <v>284</v>
      </c>
      <c r="D187" s="43">
        <v>178</v>
      </c>
      <c r="E187" s="43" t="s">
        <v>285</v>
      </c>
      <c r="F187" s="182"/>
      <c r="G187" s="182"/>
      <c r="H187" s="182"/>
      <c r="I187" s="182"/>
      <c r="J187" s="21">
        <f t="shared" si="15"/>
        <v>0</v>
      </c>
      <c r="K187" s="182"/>
      <c r="L187" s="182"/>
      <c r="M187" s="182"/>
      <c r="N187" s="182"/>
      <c r="O187" s="182"/>
      <c r="P187" s="21">
        <f t="shared" si="16"/>
        <v>0</v>
      </c>
      <c r="Q187" s="182"/>
      <c r="R187" s="182"/>
      <c r="S187" s="182"/>
      <c r="T187" s="182"/>
      <c r="U187" s="182"/>
      <c r="V187" s="182"/>
      <c r="W187" s="22"/>
      <c r="X187" s="22">
        <f t="shared" si="2"/>
        <v>0</v>
      </c>
      <c r="Y187" s="46"/>
      <c r="Z187" s="94"/>
    </row>
    <row r="188" spans="1:26" ht="15.75">
      <c r="A188" s="498"/>
      <c r="B188" s="498"/>
      <c r="C188" s="498"/>
      <c r="D188" s="43">
        <v>179</v>
      </c>
      <c r="E188" s="43" t="s">
        <v>125</v>
      </c>
      <c r="F188" s="182"/>
      <c r="G188" s="182"/>
      <c r="H188" s="182"/>
      <c r="I188" s="182"/>
      <c r="J188" s="21">
        <f t="shared" si="15"/>
        <v>0</v>
      </c>
      <c r="K188" s="182"/>
      <c r="L188" s="182"/>
      <c r="M188" s="182"/>
      <c r="N188" s="182"/>
      <c r="O188" s="182"/>
      <c r="P188" s="21">
        <f t="shared" si="16"/>
        <v>0</v>
      </c>
      <c r="Q188" s="182"/>
      <c r="R188" s="182"/>
      <c r="S188" s="182"/>
      <c r="T188" s="182"/>
      <c r="U188" s="182"/>
      <c r="V188" s="182"/>
      <c r="W188" s="22"/>
      <c r="X188" s="22">
        <f t="shared" si="2"/>
        <v>0</v>
      </c>
      <c r="Y188" s="232"/>
      <c r="Z188" s="94"/>
    </row>
    <row r="189" spans="1:26" ht="47.25">
      <c r="A189" s="498"/>
      <c r="B189" s="498"/>
      <c r="C189" s="498"/>
      <c r="D189" s="43">
        <v>180</v>
      </c>
      <c r="E189" s="43" t="s">
        <v>286</v>
      </c>
      <c r="F189" s="182"/>
      <c r="G189" s="182"/>
      <c r="H189" s="182"/>
      <c r="I189" s="182"/>
      <c r="J189" s="21">
        <f t="shared" si="15"/>
        <v>0</v>
      </c>
      <c r="K189" s="182"/>
      <c r="L189" s="182"/>
      <c r="M189" s="182"/>
      <c r="N189" s="182"/>
      <c r="O189" s="184"/>
      <c r="P189" s="22">
        <f t="shared" si="16"/>
        <v>0</v>
      </c>
      <c r="Q189" s="182"/>
      <c r="R189" s="182"/>
      <c r="S189" s="183"/>
      <c r="T189" s="183"/>
      <c r="U189" s="182"/>
      <c r="V189" s="182"/>
      <c r="W189" s="22"/>
      <c r="X189" s="22">
        <f t="shared" si="2"/>
        <v>0</v>
      </c>
      <c r="Y189" s="232"/>
      <c r="Z189" s="94"/>
    </row>
    <row r="190" spans="1:26" ht="47.25">
      <c r="A190" s="498"/>
      <c r="B190" s="498"/>
      <c r="C190" s="498"/>
      <c r="D190" s="43">
        <v>181</v>
      </c>
      <c r="E190" s="43" t="s">
        <v>287</v>
      </c>
      <c r="F190" s="182"/>
      <c r="G190" s="182"/>
      <c r="H190" s="182"/>
      <c r="I190" s="182"/>
      <c r="J190" s="21">
        <f t="shared" si="15"/>
        <v>0</v>
      </c>
      <c r="K190" s="182"/>
      <c r="L190" s="182"/>
      <c r="M190" s="182"/>
      <c r="N190" s="182"/>
      <c r="O190" s="182"/>
      <c r="P190" s="21">
        <f t="shared" si="16"/>
        <v>0</v>
      </c>
      <c r="Q190" s="182"/>
      <c r="R190" s="182"/>
      <c r="S190" s="182"/>
      <c r="T190" s="182"/>
      <c r="U190" s="182"/>
      <c r="V190" s="182"/>
      <c r="W190" s="22"/>
      <c r="X190" s="22">
        <f t="shared" si="2"/>
        <v>0</v>
      </c>
      <c r="Y190" s="232"/>
      <c r="Z190" s="94"/>
    </row>
    <row r="191" spans="1:26" ht="63">
      <c r="A191" s="498"/>
      <c r="B191" s="498"/>
      <c r="C191" s="498"/>
      <c r="D191" s="43">
        <v>182</v>
      </c>
      <c r="E191" s="43" t="s">
        <v>288</v>
      </c>
      <c r="F191" s="182"/>
      <c r="G191" s="182"/>
      <c r="H191" s="182"/>
      <c r="I191" s="182"/>
      <c r="J191" s="21">
        <f t="shared" si="15"/>
        <v>0</v>
      </c>
      <c r="K191" s="182"/>
      <c r="L191" s="182"/>
      <c r="M191" s="182"/>
      <c r="N191" s="182"/>
      <c r="O191" s="182"/>
      <c r="P191" s="21">
        <f t="shared" si="16"/>
        <v>0</v>
      </c>
      <c r="Q191" s="182"/>
      <c r="R191" s="182"/>
      <c r="S191" s="184"/>
      <c r="T191" s="155">
        <f>(4*0.6*6)</f>
        <v>14.399999999999999</v>
      </c>
      <c r="U191" s="182"/>
      <c r="V191" s="182"/>
      <c r="W191" s="22"/>
      <c r="X191" s="22">
        <f t="shared" si="2"/>
        <v>14.399999999999999</v>
      </c>
      <c r="Y191" s="224" t="s">
        <v>714</v>
      </c>
      <c r="Z191" s="94"/>
    </row>
    <row r="192" spans="1:26" ht="63" hidden="1">
      <c r="A192" s="498"/>
      <c r="B192" s="496"/>
      <c r="C192" s="496"/>
      <c r="D192" s="43">
        <v>183</v>
      </c>
      <c r="E192" s="43" t="s">
        <v>289</v>
      </c>
      <c r="F192" s="182"/>
      <c r="G192" s="182"/>
      <c r="H192" s="182"/>
      <c r="I192" s="182"/>
      <c r="J192" s="21">
        <f t="shared" si="15"/>
        <v>0</v>
      </c>
      <c r="K192" s="182"/>
      <c r="L192" s="182"/>
      <c r="M192" s="182"/>
      <c r="N192" s="182"/>
      <c r="O192" s="182"/>
      <c r="P192" s="21">
        <f t="shared" si="16"/>
        <v>0</v>
      </c>
      <c r="Q192" s="182"/>
      <c r="R192" s="182"/>
      <c r="S192" s="183"/>
      <c r="T192" s="183"/>
      <c r="U192" s="182"/>
      <c r="V192" s="182"/>
      <c r="W192" s="22"/>
      <c r="X192" s="22">
        <f t="shared" si="2"/>
        <v>0</v>
      </c>
      <c r="Y192" s="232"/>
      <c r="Z192" s="94"/>
    </row>
    <row r="193" spans="1:26" ht="78.75">
      <c r="A193" s="498"/>
      <c r="B193" s="43" t="s">
        <v>290</v>
      </c>
      <c r="C193" s="43" t="s">
        <v>291</v>
      </c>
      <c r="D193" s="43">
        <v>184</v>
      </c>
      <c r="E193" s="43" t="s">
        <v>292</v>
      </c>
      <c r="F193" s="182"/>
      <c r="G193" s="182"/>
      <c r="H193" s="182"/>
      <c r="I193" s="182"/>
      <c r="J193" s="21">
        <f t="shared" si="15"/>
        <v>0</v>
      </c>
      <c r="K193" s="182"/>
      <c r="L193" s="182"/>
      <c r="M193" s="182"/>
      <c r="N193" s="182"/>
      <c r="O193" s="182"/>
      <c r="P193" s="21">
        <f t="shared" si="16"/>
        <v>0</v>
      </c>
      <c r="Q193" s="182"/>
      <c r="R193" s="182"/>
      <c r="S193" s="184"/>
      <c r="T193" s="184"/>
      <c r="U193" s="182"/>
      <c r="V193" s="182"/>
      <c r="W193" s="22"/>
      <c r="X193" s="22">
        <f t="shared" si="2"/>
        <v>0</v>
      </c>
      <c r="Y193" s="232"/>
      <c r="Z193" s="94"/>
    </row>
    <row r="194" spans="1:26" ht="31.5">
      <c r="A194" s="498"/>
      <c r="B194" s="497" t="s">
        <v>293</v>
      </c>
      <c r="C194" s="497" t="s">
        <v>235</v>
      </c>
      <c r="D194" s="43">
        <v>185</v>
      </c>
      <c r="E194" s="43" t="s">
        <v>236</v>
      </c>
      <c r="F194" s="182"/>
      <c r="G194" s="182"/>
      <c r="H194" s="182"/>
      <c r="I194" s="182"/>
      <c r="J194" s="21">
        <f t="shared" si="15"/>
        <v>0</v>
      </c>
      <c r="K194" s="182"/>
      <c r="L194" s="182"/>
      <c r="M194" s="182"/>
      <c r="N194" s="182"/>
      <c r="O194" s="182"/>
      <c r="P194" s="21">
        <f t="shared" si="16"/>
        <v>0</v>
      </c>
      <c r="Q194" s="182"/>
      <c r="R194" s="182"/>
      <c r="S194" s="182"/>
      <c r="T194" s="182">
        <v>1945.3370800000005</v>
      </c>
      <c r="U194" s="182"/>
      <c r="V194" s="182"/>
      <c r="W194" s="22"/>
      <c r="X194" s="22">
        <f t="shared" si="2"/>
        <v>1945.3370800000005</v>
      </c>
      <c r="Y194" s="25" t="s">
        <v>992</v>
      </c>
      <c r="Z194" s="94"/>
    </row>
    <row r="195" spans="1:26" ht="393.75">
      <c r="A195" s="498"/>
      <c r="B195" s="498"/>
      <c r="C195" s="498"/>
      <c r="D195" s="43">
        <v>186</v>
      </c>
      <c r="E195" s="43" t="s">
        <v>237</v>
      </c>
      <c r="F195" s="182">
        <v>0.1875</v>
      </c>
      <c r="G195" s="182"/>
      <c r="H195" s="182"/>
      <c r="I195" s="182"/>
      <c r="J195" s="21">
        <f t="shared" si="15"/>
        <v>0</v>
      </c>
      <c r="K195" s="182"/>
      <c r="L195" s="182"/>
      <c r="M195" s="182"/>
      <c r="N195" s="182"/>
      <c r="O195" s="182"/>
      <c r="P195" s="21">
        <f t="shared" si="16"/>
        <v>0</v>
      </c>
      <c r="Q195" s="182"/>
      <c r="R195" s="182"/>
      <c r="S195" s="183"/>
      <c r="T195" s="183">
        <f>5.6+40.064</f>
        <v>45.664000000000001</v>
      </c>
      <c r="U195" s="46"/>
      <c r="V195" s="182"/>
      <c r="W195" s="22"/>
      <c r="X195" s="22">
        <f t="shared" si="2"/>
        <v>45.851500000000001</v>
      </c>
      <c r="Y195" s="46" t="s">
        <v>975</v>
      </c>
      <c r="Z195" s="94"/>
    </row>
    <row r="196" spans="1:26" ht="31.5">
      <c r="A196" s="498"/>
      <c r="B196" s="498"/>
      <c r="C196" s="498"/>
      <c r="D196" s="43">
        <v>187</v>
      </c>
      <c r="E196" s="43" t="s">
        <v>294</v>
      </c>
      <c r="F196" s="182"/>
      <c r="G196" s="182"/>
      <c r="H196" s="182"/>
      <c r="I196" s="182"/>
      <c r="J196" s="21">
        <f t="shared" si="15"/>
        <v>0</v>
      </c>
      <c r="K196" s="182"/>
      <c r="L196" s="182"/>
      <c r="M196" s="182"/>
      <c r="N196" s="182"/>
      <c r="O196" s="182"/>
      <c r="P196" s="21">
        <f t="shared" si="16"/>
        <v>0</v>
      </c>
      <c r="Q196" s="182"/>
      <c r="R196" s="182"/>
      <c r="S196" s="182"/>
      <c r="T196" s="182">
        <v>541.79999999999995</v>
      </c>
      <c r="U196" s="94"/>
      <c r="V196" s="182"/>
      <c r="W196" s="22"/>
      <c r="X196" s="22">
        <f t="shared" si="2"/>
        <v>541.79999999999995</v>
      </c>
      <c r="Y196" s="25" t="s">
        <v>993</v>
      </c>
      <c r="Z196" s="94"/>
    </row>
    <row r="197" spans="1:26" ht="31.5">
      <c r="A197" s="498"/>
      <c r="B197" s="498"/>
      <c r="C197" s="498"/>
      <c r="D197" s="43">
        <v>188</v>
      </c>
      <c r="E197" s="43" t="s">
        <v>238</v>
      </c>
      <c r="F197" s="182"/>
      <c r="G197" s="182"/>
      <c r="H197" s="182"/>
      <c r="I197" s="182"/>
      <c r="J197" s="21">
        <f t="shared" si="15"/>
        <v>0</v>
      </c>
      <c r="K197" s="182"/>
      <c r="L197" s="182"/>
      <c r="M197" s="182"/>
      <c r="N197" s="182"/>
      <c r="O197" s="182"/>
      <c r="P197" s="21">
        <f t="shared" si="16"/>
        <v>0</v>
      </c>
      <c r="Q197" s="182"/>
      <c r="R197" s="182"/>
      <c r="S197" s="182"/>
      <c r="T197" s="182"/>
      <c r="U197" s="182"/>
      <c r="V197" s="182"/>
      <c r="W197" s="22"/>
      <c r="X197" s="22">
        <f t="shared" si="2"/>
        <v>0</v>
      </c>
      <c r="Y197" s="46"/>
      <c r="Z197" s="94"/>
    </row>
    <row r="198" spans="1:26" ht="47.25">
      <c r="A198" s="498"/>
      <c r="B198" s="498"/>
      <c r="C198" s="498"/>
      <c r="D198" s="43">
        <v>189</v>
      </c>
      <c r="E198" s="43" t="s">
        <v>295</v>
      </c>
      <c r="F198" s="182"/>
      <c r="G198" s="182"/>
      <c r="H198" s="182"/>
      <c r="I198" s="182"/>
      <c r="J198" s="21">
        <f t="shared" si="15"/>
        <v>0</v>
      </c>
      <c r="K198" s="182"/>
      <c r="L198" s="182"/>
      <c r="M198" s="182"/>
      <c r="N198" s="182"/>
      <c r="O198" s="182"/>
      <c r="P198" s="21">
        <f t="shared" si="16"/>
        <v>0</v>
      </c>
      <c r="Q198" s="182"/>
      <c r="R198" s="182"/>
      <c r="S198" s="182"/>
      <c r="T198" s="182"/>
      <c r="U198" s="182"/>
      <c r="V198" s="182"/>
      <c r="W198" s="22"/>
      <c r="X198" s="22">
        <f t="shared" si="2"/>
        <v>0</v>
      </c>
      <c r="Y198" s="46"/>
      <c r="Z198" s="94"/>
    </row>
    <row r="199" spans="1:26" ht="63" hidden="1">
      <c r="A199" s="498"/>
      <c r="B199" s="496"/>
      <c r="C199" s="496"/>
      <c r="D199" s="43">
        <v>190</v>
      </c>
      <c r="E199" s="43" t="s">
        <v>296</v>
      </c>
      <c r="F199" s="182"/>
      <c r="G199" s="182"/>
      <c r="H199" s="182"/>
      <c r="I199" s="182"/>
      <c r="J199" s="21">
        <f t="shared" si="15"/>
        <v>0</v>
      </c>
      <c r="K199" s="182"/>
      <c r="L199" s="182"/>
      <c r="M199" s="182"/>
      <c r="N199" s="182"/>
      <c r="O199" s="182"/>
      <c r="P199" s="21">
        <f t="shared" si="16"/>
        <v>0</v>
      </c>
      <c r="Q199" s="182"/>
      <c r="R199" s="182"/>
      <c r="S199" s="183"/>
      <c r="T199" s="183"/>
      <c r="U199" s="182"/>
      <c r="V199" s="182"/>
      <c r="W199" s="22"/>
      <c r="X199" s="22">
        <f t="shared" si="2"/>
        <v>0</v>
      </c>
      <c r="Y199" s="46"/>
      <c r="Z199" s="94"/>
    </row>
    <row r="200" spans="1:26" ht="47.25">
      <c r="A200" s="498"/>
      <c r="B200" s="497" t="s">
        <v>297</v>
      </c>
      <c r="C200" s="497" t="s">
        <v>298</v>
      </c>
      <c r="D200" s="43">
        <v>191</v>
      </c>
      <c r="E200" s="43" t="s">
        <v>299</v>
      </c>
      <c r="F200" s="182"/>
      <c r="G200" s="182"/>
      <c r="H200" s="182"/>
      <c r="I200" s="182"/>
      <c r="J200" s="21">
        <f t="shared" si="15"/>
        <v>0</v>
      </c>
      <c r="K200" s="182"/>
      <c r="L200" s="182"/>
      <c r="M200" s="182"/>
      <c r="N200" s="182"/>
      <c r="O200" s="182"/>
      <c r="P200" s="21">
        <f t="shared" si="16"/>
        <v>0</v>
      </c>
      <c r="Q200" s="182"/>
      <c r="R200" s="182"/>
      <c r="S200" s="182"/>
      <c r="T200" s="182"/>
      <c r="U200" s="182"/>
      <c r="V200" s="182"/>
      <c r="W200" s="22"/>
      <c r="X200" s="22">
        <f t="shared" si="2"/>
        <v>0</v>
      </c>
      <c r="Y200" s="61"/>
      <c r="Z200" s="94"/>
    </row>
    <row r="201" spans="1:26" ht="47.25">
      <c r="A201" s="498"/>
      <c r="B201" s="496"/>
      <c r="C201" s="496"/>
      <c r="D201" s="43">
        <v>192</v>
      </c>
      <c r="E201" s="43" t="s">
        <v>300</v>
      </c>
      <c r="F201" s="182"/>
      <c r="G201" s="182"/>
      <c r="H201" s="182"/>
      <c r="I201" s="183"/>
      <c r="J201" s="48">
        <f t="shared" si="15"/>
        <v>0</v>
      </c>
      <c r="K201" s="182"/>
      <c r="L201" s="182"/>
      <c r="M201" s="182"/>
      <c r="N201" s="182"/>
      <c r="O201" s="182"/>
      <c r="P201" s="21">
        <f t="shared" si="16"/>
        <v>0</v>
      </c>
      <c r="Q201" s="182"/>
      <c r="R201" s="182"/>
      <c r="S201" s="184"/>
      <c r="T201" s="184"/>
      <c r="U201" s="182"/>
      <c r="V201" s="182"/>
      <c r="W201" s="22"/>
      <c r="X201" s="22">
        <f t="shared" si="2"/>
        <v>0</v>
      </c>
      <c r="Y201" s="61"/>
      <c r="Z201" s="94"/>
    </row>
    <row r="202" spans="1:26" ht="47.25">
      <c r="A202" s="498"/>
      <c r="B202" s="497" t="s">
        <v>301</v>
      </c>
      <c r="C202" s="497" t="s">
        <v>241</v>
      </c>
      <c r="D202" s="43">
        <v>193</v>
      </c>
      <c r="E202" s="43" t="s">
        <v>302</v>
      </c>
      <c r="F202" s="182"/>
      <c r="G202" s="182"/>
      <c r="H202" s="182"/>
      <c r="I202" s="182"/>
      <c r="J202" s="21">
        <f t="shared" si="15"/>
        <v>0</v>
      </c>
      <c r="K202" s="182"/>
      <c r="L202" s="182"/>
      <c r="M202" s="182"/>
      <c r="N202" s="182"/>
      <c r="O202" s="182"/>
      <c r="P202" s="21">
        <f t="shared" si="16"/>
        <v>0</v>
      </c>
      <c r="Q202" s="182"/>
      <c r="R202" s="182"/>
      <c r="S202" s="184"/>
      <c r="T202" s="184"/>
      <c r="U202" s="183"/>
      <c r="V202" s="183"/>
      <c r="W202" s="22"/>
      <c r="X202" s="22">
        <f t="shared" si="2"/>
        <v>0</v>
      </c>
      <c r="Y202" s="46"/>
      <c r="Z202" s="94"/>
    </row>
    <row r="203" spans="1:26" ht="47.25">
      <c r="A203" s="498"/>
      <c r="B203" s="496"/>
      <c r="C203" s="496"/>
      <c r="D203" s="43">
        <v>194</v>
      </c>
      <c r="E203" s="43" t="s">
        <v>242</v>
      </c>
      <c r="F203" s="182"/>
      <c r="G203" s="182"/>
      <c r="H203" s="182"/>
      <c r="I203" s="182"/>
      <c r="J203" s="21">
        <f t="shared" si="15"/>
        <v>0</v>
      </c>
      <c r="K203" s="182"/>
      <c r="L203" s="182"/>
      <c r="M203" s="182"/>
      <c r="N203" s="182"/>
      <c r="O203" s="182"/>
      <c r="P203" s="21">
        <f t="shared" si="16"/>
        <v>0</v>
      </c>
      <c r="Q203" s="182"/>
      <c r="R203" s="182"/>
      <c r="S203" s="182"/>
      <c r="T203" s="182">
        <v>80.040000000000006</v>
      </c>
      <c r="U203" s="182"/>
      <c r="V203" s="182"/>
      <c r="W203" s="22"/>
      <c r="X203" s="22">
        <f t="shared" si="2"/>
        <v>80.040000000000006</v>
      </c>
      <c r="Y203" s="98" t="s">
        <v>1221</v>
      </c>
      <c r="Z203" s="94"/>
    </row>
    <row r="204" spans="1:26" ht="63" hidden="1">
      <c r="A204" s="498"/>
      <c r="B204" s="497" t="s">
        <v>303</v>
      </c>
      <c r="C204" s="497" t="s">
        <v>304</v>
      </c>
      <c r="D204" s="43">
        <v>195</v>
      </c>
      <c r="E204" s="43" t="s">
        <v>305</v>
      </c>
      <c r="F204" s="182"/>
      <c r="G204" s="182"/>
      <c r="H204" s="182"/>
      <c r="I204" s="182"/>
      <c r="J204" s="21">
        <f t="shared" si="15"/>
        <v>0</v>
      </c>
      <c r="K204" s="182"/>
      <c r="L204" s="182"/>
      <c r="M204" s="182"/>
      <c r="N204" s="182"/>
      <c r="O204" s="182"/>
      <c r="P204" s="21">
        <f t="shared" si="16"/>
        <v>0</v>
      </c>
      <c r="Q204" s="182"/>
      <c r="R204" s="182"/>
      <c r="S204" s="184"/>
      <c r="T204" s="184"/>
      <c r="U204" s="182"/>
      <c r="V204" s="182"/>
      <c r="W204" s="22"/>
      <c r="X204" s="22">
        <f t="shared" si="2"/>
        <v>0</v>
      </c>
      <c r="Y204" s="46"/>
      <c r="Z204" s="94"/>
    </row>
    <row r="205" spans="1:26" ht="31.5" hidden="1">
      <c r="A205" s="498"/>
      <c r="B205" s="498"/>
      <c r="C205" s="498"/>
      <c r="D205" s="43">
        <v>196</v>
      </c>
      <c r="E205" s="43" t="s">
        <v>306</v>
      </c>
      <c r="F205" s="182"/>
      <c r="G205" s="182"/>
      <c r="H205" s="182"/>
      <c r="I205" s="182"/>
      <c r="J205" s="21">
        <f t="shared" si="15"/>
        <v>0</v>
      </c>
      <c r="K205" s="182"/>
      <c r="L205" s="182"/>
      <c r="M205" s="182"/>
      <c r="N205" s="182"/>
      <c r="O205" s="182"/>
      <c r="P205" s="21">
        <f t="shared" si="16"/>
        <v>0</v>
      </c>
      <c r="Q205" s="182"/>
      <c r="R205" s="182"/>
      <c r="S205" s="182"/>
      <c r="T205" s="182"/>
      <c r="U205" s="182"/>
      <c r="V205" s="182"/>
      <c r="W205" s="22"/>
      <c r="X205" s="22">
        <f t="shared" si="2"/>
        <v>0</v>
      </c>
      <c r="Y205" s="46"/>
      <c r="Z205" s="94"/>
    </row>
    <row r="206" spans="1:26" ht="31.5" hidden="1">
      <c r="A206" s="498"/>
      <c r="B206" s="496"/>
      <c r="C206" s="496"/>
      <c r="D206" s="43">
        <v>197</v>
      </c>
      <c r="E206" s="43" t="s">
        <v>307</v>
      </c>
      <c r="F206" s="61"/>
      <c r="G206" s="61"/>
      <c r="H206" s="61"/>
      <c r="I206" s="61"/>
      <c r="J206" s="21">
        <f t="shared" si="15"/>
        <v>0</v>
      </c>
      <c r="K206" s="61"/>
      <c r="L206" s="61"/>
      <c r="M206" s="61"/>
      <c r="N206" s="61"/>
      <c r="O206" s="61"/>
      <c r="P206" s="21">
        <f t="shared" si="16"/>
        <v>0</v>
      </c>
      <c r="Q206" s="61"/>
      <c r="R206" s="61"/>
      <c r="S206" s="216"/>
      <c r="T206" s="216"/>
      <c r="U206" s="192"/>
      <c r="V206" s="192"/>
      <c r="W206" s="217"/>
      <c r="X206" s="22">
        <f t="shared" si="2"/>
        <v>0</v>
      </c>
      <c r="Y206" s="46"/>
      <c r="Z206" s="94"/>
    </row>
    <row r="207" spans="1:26" ht="78.75" hidden="1">
      <c r="A207" s="498"/>
      <c r="B207" s="43" t="s">
        <v>308</v>
      </c>
      <c r="C207" s="43" t="s">
        <v>246</v>
      </c>
      <c r="D207" s="43">
        <v>198</v>
      </c>
      <c r="E207" s="43" t="s">
        <v>247</v>
      </c>
      <c r="F207" s="182"/>
      <c r="G207" s="182"/>
      <c r="H207" s="182"/>
      <c r="I207" s="182"/>
      <c r="J207" s="21">
        <f t="shared" si="15"/>
        <v>0</v>
      </c>
      <c r="K207" s="182"/>
      <c r="L207" s="182"/>
      <c r="M207" s="182"/>
      <c r="N207" s="182"/>
      <c r="O207" s="182"/>
      <c r="P207" s="21">
        <f t="shared" si="16"/>
        <v>0</v>
      </c>
      <c r="Q207" s="182"/>
      <c r="R207" s="182"/>
      <c r="S207" s="182"/>
      <c r="T207" s="182"/>
      <c r="U207" s="182"/>
      <c r="V207" s="182"/>
      <c r="W207" s="22"/>
      <c r="X207" s="22">
        <f t="shared" si="2"/>
        <v>0</v>
      </c>
      <c r="Y207" s="46"/>
      <c r="Z207" s="94"/>
    </row>
    <row r="208" spans="1:26" ht="31.5">
      <c r="A208" s="498"/>
      <c r="B208" s="43" t="s">
        <v>309</v>
      </c>
      <c r="C208" s="43" t="s">
        <v>249</v>
      </c>
      <c r="D208" s="43">
        <v>199</v>
      </c>
      <c r="E208" s="43" t="s">
        <v>250</v>
      </c>
      <c r="F208" s="205"/>
      <c r="G208" s="205"/>
      <c r="H208" s="205"/>
      <c r="I208" s="205"/>
      <c r="J208" s="21">
        <f t="shared" si="15"/>
        <v>0</v>
      </c>
      <c r="K208" s="205"/>
      <c r="L208" s="205"/>
      <c r="M208" s="205"/>
      <c r="N208" s="205"/>
      <c r="O208" s="205"/>
      <c r="P208" s="21">
        <f t="shared" si="16"/>
        <v>0</v>
      </c>
      <c r="Q208" s="205"/>
      <c r="R208" s="205"/>
      <c r="S208" s="205"/>
      <c r="T208" s="205">
        <v>34.65</v>
      </c>
      <c r="U208" s="205"/>
      <c r="V208" s="205"/>
      <c r="W208" s="22"/>
      <c r="X208" s="22">
        <f t="shared" si="2"/>
        <v>34.65</v>
      </c>
      <c r="Y208" s="25" t="s">
        <v>989</v>
      </c>
      <c r="Z208" s="94"/>
    </row>
    <row r="209" spans="1:26" ht="63">
      <c r="A209" s="498"/>
      <c r="B209" s="43" t="s">
        <v>310</v>
      </c>
      <c r="C209" s="218" t="s">
        <v>311</v>
      </c>
      <c r="D209" s="43">
        <v>200</v>
      </c>
      <c r="E209" s="43" t="s">
        <v>312</v>
      </c>
      <c r="F209" s="23"/>
      <c r="G209" s="23"/>
      <c r="H209" s="23"/>
      <c r="I209" s="23"/>
      <c r="J209" s="21">
        <f t="shared" si="15"/>
        <v>0</v>
      </c>
      <c r="K209" s="23"/>
      <c r="L209" s="23"/>
      <c r="M209" s="23"/>
      <c r="N209" s="23"/>
      <c r="O209" s="23"/>
      <c r="P209" s="21">
        <f t="shared" si="16"/>
        <v>0</v>
      </c>
      <c r="Q209" s="23"/>
      <c r="R209" s="23"/>
      <c r="S209" s="23"/>
      <c r="T209" s="23"/>
      <c r="U209" s="23"/>
      <c r="V209" s="23"/>
      <c r="W209" s="22"/>
      <c r="X209" s="22">
        <f t="shared" si="2"/>
        <v>0</v>
      </c>
      <c r="Y209" s="61"/>
      <c r="Z209" s="94"/>
    </row>
    <row r="210" spans="1:26" ht="110.25">
      <c r="A210" s="498"/>
      <c r="B210" s="219" t="s">
        <v>313</v>
      </c>
      <c r="C210" s="219" t="s">
        <v>314</v>
      </c>
      <c r="D210" s="220">
        <v>201</v>
      </c>
      <c r="E210" s="72" t="s">
        <v>315</v>
      </c>
      <c r="F210" s="23"/>
      <c r="G210" s="23"/>
      <c r="H210" s="23"/>
      <c r="I210" s="23"/>
      <c r="J210" s="21">
        <f t="shared" si="15"/>
        <v>0</v>
      </c>
      <c r="K210" s="23"/>
      <c r="L210" s="23"/>
      <c r="M210" s="23"/>
      <c r="N210" s="23"/>
      <c r="O210" s="23"/>
      <c r="P210" s="21">
        <f t="shared" si="16"/>
        <v>0</v>
      </c>
      <c r="Q210" s="23"/>
      <c r="R210" s="23"/>
      <c r="S210" s="23"/>
      <c r="T210" s="238">
        <v>34.354199999999999</v>
      </c>
      <c r="U210" s="23"/>
      <c r="V210" s="23"/>
      <c r="W210" s="22"/>
      <c r="X210" s="22">
        <f t="shared" si="2"/>
        <v>34.354199999999999</v>
      </c>
      <c r="Y210" s="23" t="s">
        <v>1162</v>
      </c>
      <c r="Z210" s="94"/>
    </row>
    <row r="211" spans="1:26" ht="94.5">
      <c r="A211" s="498"/>
      <c r="B211" s="219" t="s">
        <v>316</v>
      </c>
      <c r="C211" s="219" t="s">
        <v>317</v>
      </c>
      <c r="D211" s="220">
        <v>202</v>
      </c>
      <c r="E211" s="72" t="s">
        <v>318</v>
      </c>
      <c r="F211" s="23"/>
      <c r="G211" s="23"/>
      <c r="H211" s="23"/>
      <c r="I211" s="23"/>
      <c r="J211" s="21">
        <f t="shared" si="15"/>
        <v>0</v>
      </c>
      <c r="K211" s="23"/>
      <c r="L211" s="23"/>
      <c r="M211" s="23"/>
      <c r="N211" s="23"/>
      <c r="O211" s="23"/>
      <c r="P211" s="21">
        <f t="shared" si="16"/>
        <v>0</v>
      </c>
      <c r="Q211" s="23"/>
      <c r="R211" s="23"/>
      <c r="S211" s="23"/>
      <c r="T211" s="238">
        <v>482.26979999999998</v>
      </c>
      <c r="U211" s="23"/>
      <c r="V211" s="23"/>
      <c r="W211" s="22"/>
      <c r="X211" s="22">
        <f t="shared" si="2"/>
        <v>482.26979999999998</v>
      </c>
      <c r="Y211" s="46" t="s">
        <v>559</v>
      </c>
      <c r="Z211" s="94"/>
    </row>
    <row r="212" spans="1:26" ht="141.75">
      <c r="A212" s="498"/>
      <c r="B212" s="219" t="s">
        <v>319</v>
      </c>
      <c r="C212" s="219" t="s">
        <v>320</v>
      </c>
      <c r="D212" s="220">
        <v>203</v>
      </c>
      <c r="E212" s="72" t="s">
        <v>321</v>
      </c>
      <c r="F212" s="23"/>
      <c r="G212" s="23"/>
      <c r="H212" s="23"/>
      <c r="I212" s="23"/>
      <c r="J212" s="21">
        <f t="shared" si="15"/>
        <v>0</v>
      </c>
      <c r="K212" s="23"/>
      <c r="L212" s="23"/>
      <c r="M212" s="23"/>
      <c r="N212" s="23"/>
      <c r="O212" s="23"/>
      <c r="P212" s="21">
        <f t="shared" si="16"/>
        <v>0</v>
      </c>
      <c r="Q212" s="23"/>
      <c r="R212" s="23"/>
      <c r="S212" s="23"/>
      <c r="T212" s="23"/>
      <c r="U212" s="23"/>
      <c r="V212" s="23"/>
      <c r="W212" s="22"/>
      <c r="X212" s="22">
        <f t="shared" si="2"/>
        <v>0</v>
      </c>
      <c r="Y212" s="46"/>
      <c r="Z212" s="94"/>
    </row>
    <row r="213" spans="1:26" ht="78.75">
      <c r="A213" s="498"/>
      <c r="B213" s="219" t="s">
        <v>322</v>
      </c>
      <c r="C213" s="219" t="s">
        <v>323</v>
      </c>
      <c r="D213" s="220">
        <v>204</v>
      </c>
      <c r="E213" s="72" t="s">
        <v>324</v>
      </c>
      <c r="F213" s="23"/>
      <c r="G213" s="23"/>
      <c r="H213" s="23"/>
      <c r="I213" s="23"/>
      <c r="J213" s="21">
        <f t="shared" si="15"/>
        <v>0</v>
      </c>
      <c r="K213" s="23"/>
      <c r="L213" s="23"/>
      <c r="M213" s="23"/>
      <c r="N213" s="23"/>
      <c r="O213" s="23"/>
      <c r="P213" s="21">
        <f t="shared" si="16"/>
        <v>0</v>
      </c>
      <c r="Q213" s="23"/>
      <c r="R213" s="23"/>
      <c r="S213" s="23"/>
      <c r="T213" s="238">
        <v>20.0014</v>
      </c>
      <c r="U213" s="23"/>
      <c r="V213" s="23"/>
      <c r="W213" s="22"/>
      <c r="X213" s="26">
        <f t="shared" si="2"/>
        <v>20.0014</v>
      </c>
      <c r="Y213" s="46" t="s">
        <v>676</v>
      </c>
      <c r="Z213" s="94"/>
    </row>
    <row r="214" spans="1:26" ht="63">
      <c r="A214" s="498"/>
      <c r="B214" s="219" t="s">
        <v>326</v>
      </c>
      <c r="C214" s="219" t="s">
        <v>291</v>
      </c>
      <c r="D214" s="220">
        <v>205</v>
      </c>
      <c r="E214" s="72" t="s">
        <v>327</v>
      </c>
      <c r="F214" s="23"/>
      <c r="G214" s="23"/>
      <c r="H214" s="23"/>
      <c r="I214" s="23"/>
      <c r="J214" s="21">
        <f t="shared" si="15"/>
        <v>0</v>
      </c>
      <c r="K214" s="23"/>
      <c r="L214" s="23"/>
      <c r="M214" s="23"/>
      <c r="N214" s="23"/>
      <c r="O214" s="23"/>
      <c r="P214" s="21">
        <f t="shared" si="16"/>
        <v>0</v>
      </c>
      <c r="Q214" s="23"/>
      <c r="R214" s="23"/>
      <c r="S214" s="23"/>
      <c r="T214" s="23"/>
      <c r="U214" s="23"/>
      <c r="V214" s="23"/>
      <c r="W214" s="22"/>
      <c r="X214" s="22">
        <f t="shared" si="2"/>
        <v>0</v>
      </c>
      <c r="Y214" s="23"/>
      <c r="Z214" s="94"/>
    </row>
    <row r="215" spans="1:26" ht="47.25">
      <c r="A215" s="498"/>
      <c r="B215" s="219" t="s">
        <v>329</v>
      </c>
      <c r="C215" s="219" t="s">
        <v>246</v>
      </c>
      <c r="D215" s="220">
        <v>206</v>
      </c>
      <c r="E215" s="72" t="s">
        <v>330</v>
      </c>
      <c r="F215" s="23"/>
      <c r="G215" s="23"/>
      <c r="H215" s="23"/>
      <c r="I215" s="23"/>
      <c r="J215" s="21">
        <f t="shared" si="15"/>
        <v>0</v>
      </c>
      <c r="K215" s="23"/>
      <c r="L215" s="23"/>
      <c r="M215" s="23"/>
      <c r="N215" s="23"/>
      <c r="O215" s="23"/>
      <c r="P215" s="21">
        <f t="shared" si="16"/>
        <v>0</v>
      </c>
      <c r="Q215" s="23"/>
      <c r="R215" s="23"/>
      <c r="S215" s="23"/>
      <c r="T215" s="415"/>
      <c r="U215" s="23"/>
      <c r="V215" s="23"/>
      <c r="W215" s="22"/>
      <c r="X215" s="22">
        <f t="shared" si="2"/>
        <v>0</v>
      </c>
      <c r="Y215" s="23"/>
      <c r="Z215" s="94"/>
    </row>
    <row r="216" spans="1:26" s="110" customFormat="1" ht="25.5" customHeight="1">
      <c r="A216" s="496"/>
      <c r="B216" s="500" t="s">
        <v>331</v>
      </c>
      <c r="C216" s="512"/>
      <c r="D216" s="513"/>
      <c r="E216" s="59"/>
      <c r="F216" s="74">
        <f t="shared" ref="F216:W216" si="17">SUM(F159:F215)</f>
        <v>0.1875</v>
      </c>
      <c r="G216" s="75">
        <f t="shared" si="17"/>
        <v>0</v>
      </c>
      <c r="H216" s="74">
        <f t="shared" si="17"/>
        <v>60</v>
      </c>
      <c r="I216" s="75">
        <f t="shared" si="17"/>
        <v>0</v>
      </c>
      <c r="J216" s="75">
        <f t="shared" si="17"/>
        <v>60</v>
      </c>
      <c r="K216" s="74">
        <f t="shared" si="17"/>
        <v>0</v>
      </c>
      <c r="L216" s="74">
        <f t="shared" si="17"/>
        <v>0</v>
      </c>
      <c r="M216" s="74">
        <f t="shared" si="17"/>
        <v>0</v>
      </c>
      <c r="N216" s="74">
        <f t="shared" si="17"/>
        <v>0</v>
      </c>
      <c r="O216" s="74">
        <f t="shared" si="17"/>
        <v>0</v>
      </c>
      <c r="P216" s="74">
        <f t="shared" si="17"/>
        <v>0</v>
      </c>
      <c r="Q216" s="74">
        <f t="shared" si="17"/>
        <v>0</v>
      </c>
      <c r="R216" s="74">
        <f t="shared" si="17"/>
        <v>4</v>
      </c>
      <c r="S216" s="75">
        <f t="shared" si="17"/>
        <v>0</v>
      </c>
      <c r="T216" s="75">
        <f t="shared" si="17"/>
        <v>3267.0444800000014</v>
      </c>
      <c r="U216" s="74">
        <f t="shared" si="17"/>
        <v>0</v>
      </c>
      <c r="V216" s="74">
        <f t="shared" si="17"/>
        <v>0</v>
      </c>
      <c r="W216" s="60">
        <f t="shared" si="17"/>
        <v>0</v>
      </c>
      <c r="X216" s="60">
        <f t="shared" si="2"/>
        <v>3331.2319800000014</v>
      </c>
      <c r="Y216" s="74"/>
      <c r="Z216" s="327"/>
    </row>
    <row r="217" spans="1:26" ht="31.5" customHeight="1">
      <c r="A217" s="502" t="s">
        <v>332</v>
      </c>
      <c r="B217" s="489"/>
      <c r="C217" s="489"/>
      <c r="D217" s="490"/>
      <c r="E217" s="88"/>
      <c r="F217" s="89">
        <f t="shared" ref="F217:W217" si="18">F216+F158+F134+F93+F68</f>
        <v>90.29495</v>
      </c>
      <c r="G217" s="90">
        <f t="shared" si="18"/>
        <v>0</v>
      </c>
      <c r="H217" s="89">
        <f t="shared" si="18"/>
        <v>60</v>
      </c>
      <c r="I217" s="90">
        <f t="shared" si="18"/>
        <v>7.65</v>
      </c>
      <c r="J217" s="90">
        <f t="shared" si="18"/>
        <v>67.650000000000006</v>
      </c>
      <c r="K217" s="89">
        <f t="shared" si="18"/>
        <v>0</v>
      </c>
      <c r="L217" s="89">
        <f t="shared" si="18"/>
        <v>19.003999999999998</v>
      </c>
      <c r="M217" s="89">
        <f t="shared" si="18"/>
        <v>0</v>
      </c>
      <c r="N217" s="89">
        <f t="shared" si="18"/>
        <v>0</v>
      </c>
      <c r="O217" s="89">
        <f t="shared" si="18"/>
        <v>45.3857</v>
      </c>
      <c r="P217" s="89">
        <f t="shared" si="18"/>
        <v>45.3857</v>
      </c>
      <c r="Q217" s="89">
        <f t="shared" si="18"/>
        <v>0</v>
      </c>
      <c r="R217" s="89">
        <f t="shared" si="18"/>
        <v>51.383700000000005</v>
      </c>
      <c r="S217" s="90">
        <f t="shared" si="18"/>
        <v>0</v>
      </c>
      <c r="T217" s="90">
        <f t="shared" si="18"/>
        <v>3955.2439300000015</v>
      </c>
      <c r="U217" s="89">
        <f t="shared" si="18"/>
        <v>0</v>
      </c>
      <c r="V217" s="89">
        <f t="shared" si="18"/>
        <v>2</v>
      </c>
      <c r="W217" s="89">
        <f t="shared" si="18"/>
        <v>0</v>
      </c>
      <c r="X217" s="89">
        <f t="shared" si="2"/>
        <v>4230.9622800000016</v>
      </c>
      <c r="Y217" s="375"/>
      <c r="Z217" s="94"/>
    </row>
    <row r="218" spans="1:26"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93"/>
      <c r="Z218" s="94"/>
    </row>
    <row r="219" spans="1:26"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9"/>
      <c r="Z219" s="94"/>
    </row>
    <row r="220" spans="1:26"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9"/>
      <c r="Z220" s="94"/>
    </row>
    <row r="221" spans="1:26"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c r="Z221" s="94"/>
    </row>
    <row r="222" spans="1:26"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c r="Z222" s="94"/>
    </row>
    <row r="223" spans="1:26"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9"/>
      <c r="Z223" s="94"/>
    </row>
    <row r="224" spans="1:26"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c r="Z224" s="94"/>
    </row>
    <row r="225" spans="1:26"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c r="Z225" s="94"/>
    </row>
    <row r="226" spans="1:26"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c r="Z226" s="94"/>
    </row>
    <row r="227" spans="1:26"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c r="Z227" s="94"/>
    </row>
    <row r="228" spans="1:26"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c r="Z228" s="94"/>
    </row>
    <row r="229" spans="1:26"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c r="Z229" s="94"/>
    </row>
    <row r="230" spans="1:26"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c r="Z230" s="94"/>
    </row>
    <row r="231" spans="1:26"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c r="Z231" s="94"/>
    </row>
    <row r="232" spans="1:26"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c r="Z232" s="94"/>
    </row>
    <row r="233" spans="1:26"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c r="Z233" s="94"/>
    </row>
    <row r="234" spans="1:26"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c r="Z234" s="94"/>
    </row>
    <row r="235" spans="1:26"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c r="Z235" s="94"/>
    </row>
    <row r="236" spans="1:26"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c r="Z236" s="94"/>
    </row>
    <row r="237" spans="1:26"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c r="Z237" s="94"/>
    </row>
    <row r="238" spans="1:26"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c r="Z238" s="94"/>
    </row>
    <row r="239" spans="1:26"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c r="Z239" s="94"/>
    </row>
    <row r="240" spans="1:26"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c r="Z240" s="94"/>
    </row>
    <row r="241" spans="1:26"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c r="Z241" s="94"/>
    </row>
    <row r="242" spans="1:26"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c r="Z242" s="94"/>
    </row>
    <row r="243" spans="1:26"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c r="Z243" s="94"/>
    </row>
    <row r="244" spans="1:26"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c r="Z244" s="94"/>
    </row>
    <row r="245" spans="1:26"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c r="Z245" s="94"/>
    </row>
    <row r="246" spans="1:26"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c r="Z246" s="94"/>
    </row>
    <row r="247" spans="1:26"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c r="Z247" s="94"/>
    </row>
    <row r="248" spans="1:26"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c r="Z248" s="94"/>
    </row>
    <row r="249" spans="1:26"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c r="Z249" s="94"/>
    </row>
    <row r="250" spans="1:26"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c r="Z250" s="94"/>
    </row>
    <row r="251" spans="1:26"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c r="Z251" s="94"/>
    </row>
    <row r="252" spans="1:26"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c r="Z252" s="94"/>
    </row>
    <row r="253" spans="1:26"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c r="Z253" s="94"/>
    </row>
    <row r="254" spans="1:26"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c r="Z254" s="94"/>
    </row>
    <row r="255" spans="1:26"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c r="Z255" s="94"/>
    </row>
    <row r="256" spans="1:26"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c r="Z256" s="94"/>
    </row>
    <row r="257" spans="1:26"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c r="Z257" s="94"/>
    </row>
    <row r="258" spans="1:26"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c r="Z258" s="94"/>
    </row>
    <row r="259" spans="1:26"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c r="Z259" s="94"/>
    </row>
    <row r="260" spans="1:26"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c r="Z260" s="94"/>
    </row>
    <row r="261" spans="1:26"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c r="Z261" s="94"/>
    </row>
    <row r="262" spans="1:26"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c r="Z262" s="94"/>
    </row>
    <row r="263" spans="1:26"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c r="Z263" s="94"/>
    </row>
    <row r="264" spans="1:26"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c r="Z264" s="94"/>
    </row>
    <row r="265" spans="1:26"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c r="Z265" s="94"/>
    </row>
    <row r="266" spans="1:26"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c r="Z266" s="94"/>
    </row>
    <row r="267" spans="1:26"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c r="Z267" s="94"/>
    </row>
    <row r="268" spans="1:26"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c r="Z268" s="94"/>
    </row>
    <row r="269" spans="1:26"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c r="Z269" s="94"/>
    </row>
    <row r="270" spans="1:26"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c r="Z270" s="94"/>
    </row>
    <row r="271" spans="1:26"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c r="Z271" s="94"/>
    </row>
    <row r="272" spans="1:26"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c r="Z272" s="94"/>
    </row>
    <row r="273" spans="1:26"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c r="Z273" s="94"/>
    </row>
    <row r="274" spans="1:26"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c r="Z274" s="94"/>
    </row>
    <row r="275" spans="1:26"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c r="Z275" s="94"/>
    </row>
    <row r="276" spans="1:26"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c r="Z276" s="94"/>
    </row>
    <row r="277" spans="1:26"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c r="Z277" s="94"/>
    </row>
    <row r="278" spans="1:26"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c r="Z278" s="94"/>
    </row>
    <row r="279" spans="1:26"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c r="Z279" s="94"/>
    </row>
    <row r="280" spans="1:26"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c r="Z280" s="94"/>
    </row>
    <row r="281" spans="1:26"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c r="Z281" s="94"/>
    </row>
    <row r="282" spans="1:26"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c r="Z282" s="94"/>
    </row>
    <row r="283" spans="1:26"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c r="Z283" s="94"/>
    </row>
    <row r="284" spans="1:26"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c r="Z284" s="94"/>
    </row>
    <row r="285" spans="1:26"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c r="Z285" s="94"/>
    </row>
    <row r="286" spans="1:26"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c r="Z286" s="94"/>
    </row>
    <row r="287" spans="1:26"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c r="Z287" s="94"/>
    </row>
    <row r="288" spans="1:26"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c r="Z288" s="94"/>
    </row>
    <row r="289" spans="1:26"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c r="Z289" s="94"/>
    </row>
    <row r="290" spans="1:26"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c r="Z290" s="94"/>
    </row>
    <row r="291" spans="1:26"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c r="Z291" s="94"/>
    </row>
    <row r="292" spans="1:26"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c r="Z292" s="94"/>
    </row>
    <row r="293" spans="1:26"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c r="Z293" s="94"/>
    </row>
    <row r="294" spans="1:26"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c r="Z294" s="94"/>
    </row>
    <row r="295" spans="1:26"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c r="Z295" s="94"/>
    </row>
    <row r="296" spans="1:26"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c r="Z296" s="94"/>
    </row>
    <row r="297" spans="1:26"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c r="Z297" s="94"/>
    </row>
    <row r="298" spans="1:26"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c r="Z298" s="94"/>
    </row>
    <row r="299" spans="1:26"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c r="Z299" s="94"/>
    </row>
    <row r="300" spans="1:26"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c r="Z300" s="94"/>
    </row>
    <row r="301" spans="1:26"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c r="Z301" s="94"/>
    </row>
    <row r="302" spans="1:26"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c r="Z302" s="94"/>
    </row>
    <row r="303" spans="1:26"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c r="Z303" s="94"/>
    </row>
    <row r="304" spans="1:26"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c r="Z304" s="94"/>
    </row>
    <row r="305" spans="1:26"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c r="Z305" s="94"/>
    </row>
    <row r="306" spans="1:26"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c r="Z306" s="94"/>
    </row>
    <row r="307" spans="1:26"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c r="Z307" s="94"/>
    </row>
    <row r="308" spans="1:26"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c r="Z308" s="94"/>
    </row>
    <row r="309" spans="1:26"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c r="Z309" s="94"/>
    </row>
    <row r="310" spans="1:26"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c r="Z310" s="94"/>
    </row>
    <row r="311" spans="1:26"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c r="Z311" s="94"/>
    </row>
    <row r="312" spans="1:26"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c r="Z312" s="94"/>
    </row>
    <row r="313" spans="1:26"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c r="Z313" s="94"/>
    </row>
    <row r="314" spans="1:26"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c r="Z314" s="94"/>
    </row>
    <row r="315" spans="1:26"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c r="Z315" s="94"/>
    </row>
    <row r="316" spans="1:26"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c r="Z316" s="94"/>
    </row>
    <row r="317" spans="1:26"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c r="Z317" s="94"/>
    </row>
    <row r="318" spans="1:26"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c r="Z318" s="94"/>
    </row>
    <row r="319" spans="1:26"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c r="Z319" s="94"/>
    </row>
    <row r="320" spans="1:26"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c r="Z320" s="94"/>
    </row>
    <row r="321" spans="1:26"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c r="Z321" s="94"/>
    </row>
    <row r="322" spans="1:26"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c r="Z322" s="94"/>
    </row>
    <row r="323" spans="1:26"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c r="Z323" s="94"/>
    </row>
    <row r="324" spans="1:26"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c r="Z324" s="94"/>
    </row>
    <row r="325" spans="1:26"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c r="Z325" s="94"/>
    </row>
    <row r="326" spans="1:26"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c r="Z326" s="94"/>
    </row>
    <row r="327" spans="1:26"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c r="Z327" s="94"/>
    </row>
    <row r="328" spans="1:26"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c r="Z328" s="94"/>
    </row>
    <row r="329" spans="1:26"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c r="Z329" s="94"/>
    </row>
    <row r="330" spans="1:26"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c r="Z330" s="94"/>
    </row>
    <row r="331" spans="1:26"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c r="Z331" s="94"/>
    </row>
    <row r="332" spans="1:26"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c r="Z332" s="94"/>
    </row>
    <row r="333" spans="1:26"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c r="Z333" s="94"/>
    </row>
    <row r="334" spans="1:26"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c r="Z334" s="94"/>
    </row>
    <row r="335" spans="1:26"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c r="Z335" s="94"/>
    </row>
    <row r="336" spans="1:26"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c r="Z336" s="94"/>
    </row>
    <row r="337" spans="1:26"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c r="Z337" s="94"/>
    </row>
    <row r="338" spans="1:26"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c r="Z338" s="94"/>
    </row>
    <row r="339" spans="1:26"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c r="Z339" s="94"/>
    </row>
    <row r="340" spans="1:26"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c r="Z340" s="94"/>
    </row>
    <row r="341" spans="1:26"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c r="Z341" s="94"/>
    </row>
    <row r="342" spans="1:26"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c r="Z342" s="94"/>
    </row>
    <row r="343" spans="1:26"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c r="Z343" s="94"/>
    </row>
    <row r="344" spans="1:26"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c r="Z344" s="94"/>
    </row>
    <row r="345" spans="1:26"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c r="Z345" s="94"/>
    </row>
    <row r="346" spans="1:26"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c r="Z346" s="94"/>
    </row>
    <row r="347" spans="1:26"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c r="Z347" s="94"/>
    </row>
    <row r="348" spans="1:26"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c r="Z348" s="94"/>
    </row>
    <row r="349" spans="1:26"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c r="Z349" s="94"/>
    </row>
    <row r="350" spans="1:26"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c r="Z350" s="94"/>
    </row>
    <row r="351" spans="1:26"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c r="Z351" s="94"/>
    </row>
    <row r="352" spans="1:26"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c r="Z352" s="94"/>
    </row>
    <row r="353" spans="1:26"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c r="Z353" s="94"/>
    </row>
    <row r="354" spans="1:26"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c r="Z354" s="94"/>
    </row>
    <row r="355" spans="1:26"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c r="Z355" s="94"/>
    </row>
    <row r="356" spans="1:26"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c r="Z356" s="94"/>
    </row>
    <row r="357" spans="1:26"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c r="Z357" s="94"/>
    </row>
    <row r="358" spans="1:26"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c r="Z358" s="94"/>
    </row>
    <row r="359" spans="1:26"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c r="Z359" s="94"/>
    </row>
    <row r="360" spans="1:26"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c r="Z360" s="94"/>
    </row>
    <row r="361" spans="1:26"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c r="Z361" s="94"/>
    </row>
    <row r="362" spans="1:26"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c r="Z362" s="94"/>
    </row>
    <row r="363" spans="1:26"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c r="Z363" s="94"/>
    </row>
    <row r="364" spans="1:26"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c r="Z364" s="94"/>
    </row>
    <row r="365" spans="1:26"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c r="Z365" s="94"/>
    </row>
    <row r="366" spans="1:26"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c r="Z366" s="94"/>
    </row>
    <row r="367" spans="1:26"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c r="Z367" s="94"/>
    </row>
    <row r="368" spans="1:26"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c r="Z368" s="94"/>
    </row>
    <row r="369" spans="1:26"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c r="Z369" s="94"/>
    </row>
    <row r="370" spans="1:26"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c r="Z370" s="94"/>
    </row>
    <row r="371" spans="1:26"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c r="Z371" s="94"/>
    </row>
    <row r="372" spans="1:26"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c r="Z372" s="94"/>
    </row>
    <row r="373" spans="1:26"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c r="Z373" s="94"/>
    </row>
    <row r="374" spans="1:26"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c r="Z374" s="94"/>
    </row>
    <row r="375" spans="1:26"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c r="Z375" s="94"/>
    </row>
    <row r="376" spans="1:26"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c r="Z376" s="94"/>
    </row>
    <row r="377" spans="1:26"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c r="Z377" s="94"/>
    </row>
    <row r="378" spans="1:26"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c r="Z378" s="94"/>
    </row>
    <row r="379" spans="1:26"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c r="Z379" s="94"/>
    </row>
    <row r="380" spans="1:26"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c r="Z380" s="94"/>
    </row>
    <row r="381" spans="1:26"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c r="Z381" s="94"/>
    </row>
    <row r="382" spans="1:26"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c r="Z382" s="94"/>
    </row>
    <row r="383" spans="1:26"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c r="Z383" s="94"/>
    </row>
    <row r="384" spans="1:26"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c r="Z384" s="94"/>
    </row>
    <row r="385" spans="1:26"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c r="Z385" s="94"/>
    </row>
    <row r="386" spans="1:26"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c r="Z386" s="94"/>
    </row>
    <row r="387" spans="1:26"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c r="Z387" s="94"/>
    </row>
    <row r="388" spans="1:26"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c r="Z388" s="94"/>
    </row>
    <row r="389" spans="1:26"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c r="Z389" s="94"/>
    </row>
    <row r="390" spans="1:26"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c r="Z390" s="94"/>
    </row>
    <row r="391" spans="1:26"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c r="Z391" s="94"/>
    </row>
    <row r="392" spans="1:26"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c r="Z392" s="94"/>
    </row>
    <row r="393" spans="1:26"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c r="Z393" s="94"/>
    </row>
    <row r="394" spans="1:26"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c r="Z394" s="94"/>
    </row>
    <row r="395" spans="1:26"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c r="Z395" s="94"/>
    </row>
    <row r="396" spans="1:26"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c r="Z396" s="94"/>
    </row>
    <row r="397" spans="1:26"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c r="Z397" s="94"/>
    </row>
    <row r="398" spans="1:26"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c r="Z398" s="94"/>
    </row>
    <row r="399" spans="1:26"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c r="Z399" s="94"/>
    </row>
    <row r="400" spans="1:26"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c r="Z400" s="94"/>
    </row>
    <row r="401" spans="1:26"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c r="Z401" s="94"/>
    </row>
    <row r="402" spans="1:26"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c r="Z402" s="94"/>
    </row>
    <row r="403" spans="1:26"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c r="Z403" s="94"/>
    </row>
    <row r="404" spans="1:26"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c r="Z404" s="94"/>
    </row>
    <row r="405" spans="1:26"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c r="Z405" s="94"/>
    </row>
    <row r="406" spans="1:26"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c r="Z406" s="94"/>
    </row>
    <row r="407" spans="1:26"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c r="Z407" s="94"/>
    </row>
    <row r="408" spans="1:26"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c r="Z408" s="94"/>
    </row>
    <row r="409" spans="1:26"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c r="Z409" s="94"/>
    </row>
    <row r="410" spans="1:26"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c r="Z410" s="94"/>
    </row>
    <row r="411" spans="1:26"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c r="Z411" s="94"/>
    </row>
    <row r="412" spans="1:26"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c r="Z412" s="94"/>
    </row>
    <row r="413" spans="1:26"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c r="Z413" s="94"/>
    </row>
    <row r="414" spans="1:26"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c r="Z414" s="94"/>
    </row>
    <row r="415" spans="1:26"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c r="Z415" s="94"/>
    </row>
    <row r="416" spans="1:26"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c r="Z416" s="94"/>
    </row>
    <row r="417" spans="1:26"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c r="Z417" s="94"/>
    </row>
    <row r="418" spans="1:26"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c r="Z418" s="94"/>
    </row>
    <row r="419" spans="1:26"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c r="Z419" s="94"/>
    </row>
    <row r="420" spans="1:26"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c r="Z420" s="94"/>
    </row>
    <row r="421" spans="1:26"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c r="Z421" s="94"/>
    </row>
    <row r="422" spans="1:26"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c r="Z422" s="94"/>
    </row>
    <row r="423" spans="1:26"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c r="Z423" s="94"/>
    </row>
    <row r="424" spans="1:26"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c r="Z424" s="94"/>
    </row>
    <row r="425" spans="1:26"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c r="Z425" s="94"/>
    </row>
    <row r="426" spans="1:26"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c r="Z426" s="94"/>
    </row>
    <row r="427" spans="1:26"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c r="Z427" s="94"/>
    </row>
    <row r="428" spans="1:26"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c r="Z428" s="94"/>
    </row>
    <row r="429" spans="1:26"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c r="Z429" s="94"/>
    </row>
    <row r="430" spans="1:26"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c r="Z430" s="94"/>
    </row>
    <row r="431" spans="1:26"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c r="Z431" s="94"/>
    </row>
    <row r="432" spans="1:26"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c r="Z432" s="94"/>
    </row>
    <row r="433" spans="1:26"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c r="Z433" s="94"/>
    </row>
    <row r="434" spans="1:26"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c r="Z434" s="94"/>
    </row>
    <row r="435" spans="1:26"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c r="Z435" s="94"/>
    </row>
    <row r="436" spans="1:26"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c r="Z436" s="94"/>
    </row>
    <row r="437" spans="1:26"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c r="Z437" s="94"/>
    </row>
    <row r="438" spans="1:26"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c r="Z438" s="94"/>
    </row>
    <row r="439" spans="1:26"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c r="Z439" s="94"/>
    </row>
    <row r="440" spans="1:26"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c r="Z440" s="94"/>
    </row>
    <row r="441" spans="1:26"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c r="Z441" s="94"/>
    </row>
    <row r="442" spans="1:26"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c r="Z442" s="94"/>
    </row>
    <row r="443" spans="1:26"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c r="Z443" s="94"/>
    </row>
    <row r="444" spans="1:26"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c r="Z444" s="94"/>
    </row>
    <row r="445" spans="1:26"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c r="Z445" s="94"/>
    </row>
    <row r="446" spans="1:26"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c r="Z446" s="94"/>
    </row>
    <row r="447" spans="1:26"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c r="Z447" s="94"/>
    </row>
    <row r="448" spans="1:26"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c r="Z448" s="94"/>
    </row>
    <row r="449" spans="1:26"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c r="Z449" s="94"/>
    </row>
    <row r="450" spans="1:26"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c r="Z450" s="94"/>
    </row>
    <row r="451" spans="1:26"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c r="Z451" s="94"/>
    </row>
    <row r="452" spans="1:26"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c r="Z452" s="94"/>
    </row>
    <row r="453" spans="1:26"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c r="Z453" s="94"/>
    </row>
    <row r="454" spans="1:26"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c r="Z454" s="94"/>
    </row>
    <row r="455" spans="1:26"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c r="Z455" s="94"/>
    </row>
    <row r="456" spans="1:26"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c r="Z456" s="94"/>
    </row>
    <row r="457" spans="1:26"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c r="Z457" s="94"/>
    </row>
    <row r="458" spans="1:26"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c r="Z458" s="94"/>
    </row>
    <row r="459" spans="1:26"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c r="Z459" s="94"/>
    </row>
    <row r="460" spans="1:26"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c r="Z460" s="94"/>
    </row>
    <row r="461" spans="1:26"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c r="Z461" s="94"/>
    </row>
    <row r="462" spans="1:26"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c r="Z462" s="94"/>
    </row>
    <row r="463" spans="1:26"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c r="Z463" s="94"/>
    </row>
    <row r="464" spans="1:26"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c r="Z464" s="94"/>
    </row>
    <row r="465" spans="1:26"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c r="Z465" s="94"/>
    </row>
    <row r="466" spans="1:26"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c r="Z466" s="94"/>
    </row>
    <row r="467" spans="1:26"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c r="Z467" s="94"/>
    </row>
    <row r="468" spans="1:26"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c r="Z468" s="94"/>
    </row>
    <row r="469" spans="1:26"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c r="Z469" s="94"/>
    </row>
    <row r="470" spans="1:26"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c r="Z470" s="94"/>
    </row>
    <row r="471" spans="1:26"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c r="Z471" s="94"/>
    </row>
    <row r="472" spans="1:26"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c r="Z472" s="94"/>
    </row>
    <row r="473" spans="1:26"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c r="Z473" s="94"/>
    </row>
    <row r="474" spans="1:26"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c r="Z474" s="94"/>
    </row>
    <row r="475" spans="1:26"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c r="Z475" s="94"/>
    </row>
    <row r="476" spans="1:26"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c r="Z476" s="94"/>
    </row>
    <row r="477" spans="1:26"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c r="Z477" s="94"/>
    </row>
    <row r="478" spans="1:26"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c r="Z478" s="94"/>
    </row>
    <row r="479" spans="1:26"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c r="Z479" s="94"/>
    </row>
    <row r="480" spans="1:26"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c r="Z480" s="94"/>
    </row>
    <row r="481" spans="1:26"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c r="Z481" s="94"/>
    </row>
    <row r="482" spans="1:26"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c r="Z482" s="94"/>
    </row>
    <row r="483" spans="1:26"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c r="Z483" s="94"/>
    </row>
    <row r="484" spans="1:26"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c r="Z484" s="94"/>
    </row>
    <row r="485" spans="1:26"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c r="Z485" s="94"/>
    </row>
    <row r="486" spans="1:26"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c r="Z486" s="94"/>
    </row>
    <row r="487" spans="1:26"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c r="Z487" s="94"/>
    </row>
    <row r="488" spans="1:26"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c r="Z488" s="94"/>
    </row>
    <row r="489" spans="1:26"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c r="Z489" s="94"/>
    </row>
    <row r="490" spans="1:26"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c r="Z490" s="94"/>
    </row>
    <row r="491" spans="1:26"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c r="Z491" s="94"/>
    </row>
    <row r="492" spans="1:26"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c r="Z492" s="94"/>
    </row>
    <row r="493" spans="1:26"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c r="Z493" s="94"/>
    </row>
    <row r="494" spans="1:26"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c r="Z494" s="94"/>
    </row>
    <row r="495" spans="1:26"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c r="Z495" s="94"/>
    </row>
    <row r="496" spans="1:26"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c r="Z496" s="94"/>
    </row>
    <row r="497" spans="1:26"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c r="Z497" s="94"/>
    </row>
    <row r="498" spans="1:26"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c r="Z498" s="94"/>
    </row>
    <row r="499" spans="1:26"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c r="Z499" s="94"/>
    </row>
    <row r="500" spans="1:26"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c r="Z500" s="94"/>
    </row>
    <row r="501" spans="1:26"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c r="Z501" s="94"/>
    </row>
    <row r="502" spans="1:26"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c r="Z502" s="94"/>
    </row>
    <row r="503" spans="1:26"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c r="Z503" s="94"/>
    </row>
    <row r="504" spans="1:26"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c r="Z504" s="94"/>
    </row>
    <row r="505" spans="1:26"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c r="Z505" s="94"/>
    </row>
    <row r="506" spans="1:26"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c r="Z506" s="94"/>
    </row>
    <row r="507" spans="1:26"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c r="Z507" s="94"/>
    </row>
    <row r="508" spans="1:26"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c r="Z508" s="94"/>
    </row>
    <row r="509" spans="1:26"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c r="Z509" s="94"/>
    </row>
    <row r="510" spans="1:26"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c r="Z510" s="94"/>
    </row>
    <row r="511" spans="1:26"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c r="Z511" s="94"/>
    </row>
    <row r="512" spans="1:26"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c r="Z512" s="94"/>
    </row>
    <row r="513" spans="1:26"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c r="Z513" s="94"/>
    </row>
    <row r="514" spans="1:26"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c r="Z514" s="94"/>
    </row>
    <row r="515" spans="1:26"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c r="Z515" s="94"/>
    </row>
    <row r="516" spans="1:26"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c r="Z516" s="94"/>
    </row>
    <row r="517" spans="1:26"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c r="Z517" s="94"/>
    </row>
    <row r="518" spans="1:26"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c r="Z518" s="94"/>
    </row>
    <row r="519" spans="1:26"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c r="Z519" s="94"/>
    </row>
    <row r="520" spans="1:26"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c r="Z520" s="94"/>
    </row>
    <row r="521" spans="1:26"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c r="Z521" s="94"/>
    </row>
    <row r="522" spans="1:26"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c r="Z522" s="94"/>
    </row>
    <row r="523" spans="1:26"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c r="Z523" s="94"/>
    </row>
    <row r="524" spans="1:26"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c r="Z524" s="94"/>
    </row>
    <row r="525" spans="1:26"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c r="Z525" s="94"/>
    </row>
    <row r="526" spans="1:26"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c r="Z526" s="94"/>
    </row>
    <row r="527" spans="1:26"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c r="Z527" s="94"/>
    </row>
    <row r="528" spans="1:26"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c r="Z528" s="94"/>
    </row>
    <row r="529" spans="1:26"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c r="Z529" s="94"/>
    </row>
    <row r="530" spans="1:26"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c r="Z530" s="94"/>
    </row>
    <row r="531" spans="1:26"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c r="Z531" s="94"/>
    </row>
    <row r="532" spans="1:26"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c r="Z532" s="94"/>
    </row>
    <row r="533" spans="1:26"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c r="Z533" s="94"/>
    </row>
    <row r="534" spans="1:26"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c r="Z534" s="94"/>
    </row>
    <row r="535" spans="1:26"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c r="Z535" s="94"/>
    </row>
    <row r="536" spans="1:26"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c r="Z536" s="94"/>
    </row>
    <row r="537" spans="1:26"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c r="Z537" s="94"/>
    </row>
    <row r="538" spans="1:26"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c r="Z538" s="94"/>
    </row>
    <row r="539" spans="1:26"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c r="Z539" s="94"/>
    </row>
    <row r="540" spans="1:26"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c r="Z540" s="94"/>
    </row>
    <row r="541" spans="1:26"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c r="Z541" s="94"/>
    </row>
    <row r="542" spans="1:26"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c r="Z542" s="94"/>
    </row>
    <row r="543" spans="1:26"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c r="Z543" s="94"/>
    </row>
    <row r="544" spans="1:26"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c r="Z544" s="94"/>
    </row>
    <row r="545" spans="1:26"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c r="Z545" s="94"/>
    </row>
    <row r="546" spans="1:26"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c r="Z546" s="94"/>
    </row>
    <row r="547" spans="1:26"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c r="Z547" s="94"/>
    </row>
    <row r="548" spans="1:26"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c r="Z548" s="94"/>
    </row>
    <row r="549" spans="1:26"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c r="Z549" s="94"/>
    </row>
    <row r="550" spans="1:26"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c r="Z550" s="94"/>
    </row>
    <row r="551" spans="1:26"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c r="Z551" s="94"/>
    </row>
    <row r="552" spans="1:26"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c r="Z552" s="94"/>
    </row>
    <row r="553" spans="1:26"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c r="Z553" s="94"/>
    </row>
    <row r="554" spans="1:26"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c r="Z554" s="94"/>
    </row>
    <row r="555" spans="1:26"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c r="Z555" s="94"/>
    </row>
    <row r="556" spans="1:26"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c r="Z556" s="94"/>
    </row>
    <row r="557" spans="1:26"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c r="Z557" s="94"/>
    </row>
    <row r="558" spans="1:26"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c r="Z558" s="94"/>
    </row>
    <row r="559" spans="1:26"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c r="Z559" s="94"/>
    </row>
    <row r="560" spans="1:26"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c r="Z560" s="94"/>
    </row>
    <row r="561" spans="1:26"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c r="Z561" s="94"/>
    </row>
    <row r="562" spans="1:26"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c r="Z562" s="94"/>
    </row>
    <row r="563" spans="1:26"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c r="Z563" s="94"/>
    </row>
    <row r="564" spans="1:26"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c r="Z564" s="94"/>
    </row>
    <row r="565" spans="1:26"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c r="Z565" s="94"/>
    </row>
    <row r="566" spans="1:26"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c r="Z566" s="94"/>
    </row>
    <row r="567" spans="1:26"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c r="Z567" s="94"/>
    </row>
    <row r="568" spans="1:26"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c r="Z568" s="94"/>
    </row>
    <row r="569" spans="1:26"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c r="Z569" s="94"/>
    </row>
    <row r="570" spans="1:26"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c r="Z570" s="94"/>
    </row>
    <row r="571" spans="1:26"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c r="Z571" s="94"/>
    </row>
    <row r="572" spans="1:26"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c r="Z572" s="94"/>
    </row>
    <row r="573" spans="1:26"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c r="Z573" s="94"/>
    </row>
    <row r="574" spans="1:26"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c r="Z574" s="94"/>
    </row>
    <row r="575" spans="1:26"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c r="Z575" s="94"/>
    </row>
    <row r="576" spans="1:26"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c r="Z576" s="94"/>
    </row>
    <row r="577" spans="1:26"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c r="Z577" s="94"/>
    </row>
    <row r="578" spans="1:26"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c r="Z578" s="94"/>
    </row>
    <row r="579" spans="1:26"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c r="Z579" s="94"/>
    </row>
    <row r="580" spans="1:26"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c r="Z580" s="94"/>
    </row>
    <row r="581" spans="1:26"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c r="Z581" s="94"/>
    </row>
    <row r="582" spans="1:26"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c r="Z582" s="94"/>
    </row>
    <row r="583" spans="1:26"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c r="Z583" s="94"/>
    </row>
    <row r="584" spans="1:26"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c r="Z584" s="94"/>
    </row>
    <row r="585" spans="1:26"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c r="Z585" s="94"/>
    </row>
    <row r="586" spans="1:26"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c r="Z586" s="94"/>
    </row>
    <row r="587" spans="1:26"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c r="Z587" s="94"/>
    </row>
    <row r="588" spans="1:26"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c r="Z588" s="94"/>
    </row>
    <row r="589" spans="1:26"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c r="Z589" s="94"/>
    </row>
    <row r="590" spans="1:26"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c r="Z590" s="94"/>
    </row>
    <row r="591" spans="1:26"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c r="Z591" s="94"/>
    </row>
    <row r="592" spans="1:26"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c r="Z592" s="94"/>
    </row>
    <row r="593" spans="1:26"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c r="Z593" s="94"/>
    </row>
    <row r="594" spans="1:26"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c r="Z594" s="94"/>
    </row>
    <row r="595" spans="1:26"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c r="Z595" s="94"/>
    </row>
    <row r="596" spans="1:26"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c r="Z596" s="94"/>
    </row>
    <row r="597" spans="1:26"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c r="Z597" s="94"/>
    </row>
    <row r="598" spans="1:26"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c r="Z598" s="94"/>
    </row>
    <row r="599" spans="1:26"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c r="Z599" s="94"/>
    </row>
    <row r="600" spans="1:26"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c r="Z600" s="94"/>
    </row>
    <row r="601" spans="1:26"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c r="Z601" s="94"/>
    </row>
    <row r="602" spans="1:26"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c r="Z602" s="94"/>
    </row>
    <row r="603" spans="1:26"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c r="Z603" s="94"/>
    </row>
    <row r="604" spans="1:26"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c r="Z604" s="94"/>
    </row>
    <row r="605" spans="1:26"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c r="Z605" s="94"/>
    </row>
    <row r="606" spans="1:26"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c r="Z606" s="94"/>
    </row>
    <row r="607" spans="1:26"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c r="Z607" s="94"/>
    </row>
    <row r="608" spans="1:26"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c r="Z608" s="94"/>
    </row>
    <row r="609" spans="1:26"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c r="Z609" s="94"/>
    </row>
    <row r="610" spans="1:26"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c r="Z610" s="94"/>
    </row>
    <row r="611" spans="1:26"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c r="Z611" s="94"/>
    </row>
    <row r="612" spans="1:26"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c r="Z612" s="94"/>
    </row>
    <row r="613" spans="1:26"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c r="Z613" s="94"/>
    </row>
    <row r="614" spans="1:26"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c r="Z614" s="94"/>
    </row>
    <row r="615" spans="1:26"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c r="Z615" s="94"/>
    </row>
    <row r="616" spans="1:26"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c r="Z616" s="94"/>
    </row>
    <row r="617" spans="1:26"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c r="Z617" s="94"/>
    </row>
    <row r="618" spans="1:26"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c r="Z618" s="94"/>
    </row>
    <row r="619" spans="1:26"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c r="Z619" s="94"/>
    </row>
    <row r="620" spans="1:26"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c r="Z620" s="94"/>
    </row>
    <row r="621" spans="1:26"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c r="Z621" s="94"/>
    </row>
    <row r="622" spans="1:26"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c r="Z622" s="94"/>
    </row>
    <row r="623" spans="1:26"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c r="Z623" s="94"/>
    </row>
    <row r="624" spans="1:26"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c r="Z624" s="94"/>
    </row>
    <row r="625" spans="1:26"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c r="Z625" s="94"/>
    </row>
    <row r="626" spans="1:26"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c r="Z626" s="94"/>
    </row>
    <row r="627" spans="1:26"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c r="Z627" s="94"/>
    </row>
    <row r="628" spans="1:26"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c r="Z628" s="94"/>
    </row>
    <row r="629" spans="1:26"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c r="Z629" s="94"/>
    </row>
    <row r="630" spans="1:26"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c r="Z630" s="94"/>
    </row>
    <row r="631" spans="1:26"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c r="Z631" s="94"/>
    </row>
    <row r="632" spans="1:26"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c r="Z632" s="94"/>
    </row>
    <row r="633" spans="1:26"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c r="Z633" s="94"/>
    </row>
    <row r="634" spans="1:26"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c r="Z634" s="94"/>
    </row>
    <row r="635" spans="1:26"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c r="Z635" s="94"/>
    </row>
    <row r="636" spans="1:26"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c r="Z636" s="94"/>
    </row>
    <row r="637" spans="1:26"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c r="Z637" s="94"/>
    </row>
    <row r="638" spans="1:26"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c r="Z638" s="94"/>
    </row>
    <row r="639" spans="1:26"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c r="Z639" s="94"/>
    </row>
    <row r="640" spans="1:26"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c r="Z640" s="94"/>
    </row>
    <row r="641" spans="1:26"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c r="Z641" s="94"/>
    </row>
    <row r="642" spans="1:26"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c r="Z642" s="94"/>
    </row>
    <row r="643" spans="1:26"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c r="Z643" s="94"/>
    </row>
    <row r="644" spans="1:26"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c r="Z644" s="94"/>
    </row>
    <row r="645" spans="1:26"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c r="Z645" s="94"/>
    </row>
    <row r="646" spans="1:26"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c r="Z646" s="94"/>
    </row>
    <row r="647" spans="1:26"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c r="Z647" s="94"/>
    </row>
    <row r="648" spans="1:26"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c r="Z648" s="94"/>
    </row>
    <row r="649" spans="1:26"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c r="Z649" s="94"/>
    </row>
    <row r="650" spans="1:26"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c r="Z650" s="94"/>
    </row>
    <row r="651" spans="1:26"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c r="Z651" s="94"/>
    </row>
    <row r="652" spans="1:26"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c r="Z652" s="94"/>
    </row>
    <row r="653" spans="1:26"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c r="Z653" s="94"/>
    </row>
    <row r="654" spans="1:26"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c r="Z654" s="94"/>
    </row>
    <row r="655" spans="1:26"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c r="Z655" s="94"/>
    </row>
    <row r="656" spans="1:26"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c r="Z656" s="94"/>
    </row>
    <row r="657" spans="1:26"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c r="Z657" s="94"/>
    </row>
    <row r="658" spans="1:26"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c r="Z658" s="94"/>
    </row>
    <row r="659" spans="1:26"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c r="Z659" s="94"/>
    </row>
    <row r="660" spans="1:26"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c r="Z660" s="94"/>
    </row>
    <row r="661" spans="1:26"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c r="Z661" s="94"/>
    </row>
    <row r="662" spans="1:26"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c r="Z662" s="94"/>
    </row>
    <row r="663" spans="1:26"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c r="Z663" s="94"/>
    </row>
    <row r="664" spans="1:26"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c r="Z664" s="94"/>
    </row>
    <row r="665" spans="1:26"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c r="Z665" s="94"/>
    </row>
    <row r="666" spans="1:26"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c r="Z666" s="94"/>
    </row>
    <row r="667" spans="1:26"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c r="Z667" s="94"/>
    </row>
    <row r="668" spans="1:26"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c r="Z668" s="94"/>
    </row>
    <row r="669" spans="1:26"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c r="Z669" s="94"/>
    </row>
    <row r="670" spans="1:26"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c r="Z670" s="94"/>
    </row>
    <row r="671" spans="1:26"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c r="Z671" s="94"/>
    </row>
    <row r="672" spans="1:26"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c r="Z672" s="94"/>
    </row>
    <row r="673" spans="1:26"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c r="Z673" s="94"/>
    </row>
    <row r="674" spans="1:26"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c r="Z674" s="94"/>
    </row>
    <row r="675" spans="1:26"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c r="Z675" s="94"/>
    </row>
    <row r="676" spans="1:26"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c r="Z676" s="94"/>
    </row>
    <row r="677" spans="1:26"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c r="Z677" s="94"/>
    </row>
    <row r="678" spans="1:26"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c r="Z678" s="94"/>
    </row>
    <row r="679" spans="1:26"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c r="Z679" s="94"/>
    </row>
    <row r="680" spans="1:26"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c r="Z680" s="94"/>
    </row>
    <row r="681" spans="1:26"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c r="Z681" s="94"/>
    </row>
    <row r="682" spans="1:26"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c r="Z682" s="94"/>
    </row>
    <row r="683" spans="1:26"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c r="Z683" s="94"/>
    </row>
    <row r="684" spans="1:26"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c r="Z684" s="94"/>
    </row>
    <row r="685" spans="1:26"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c r="Z685" s="94"/>
    </row>
    <row r="686" spans="1:26"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c r="Z686" s="94"/>
    </row>
    <row r="687" spans="1:26"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c r="Z687" s="94"/>
    </row>
    <row r="688" spans="1:26"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c r="Z688" s="94"/>
    </row>
    <row r="689" spans="1:26"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c r="Z689" s="94"/>
    </row>
    <row r="690" spans="1:26"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c r="Z690" s="94"/>
    </row>
    <row r="691" spans="1:26"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c r="Z691" s="94"/>
    </row>
    <row r="692" spans="1:26"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c r="Z692" s="94"/>
    </row>
    <row r="693" spans="1:26"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c r="Z693" s="94"/>
    </row>
    <row r="694" spans="1:26"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c r="Z694" s="94"/>
    </row>
    <row r="695" spans="1:26"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c r="Z695" s="94"/>
    </row>
    <row r="696" spans="1:26"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c r="Z696" s="94"/>
    </row>
    <row r="697" spans="1:26"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c r="Z697" s="94"/>
    </row>
    <row r="698" spans="1:26"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c r="Z698" s="94"/>
    </row>
    <row r="699" spans="1:26"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c r="Z699" s="94"/>
    </row>
    <row r="700" spans="1:26"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c r="Z700" s="94"/>
    </row>
    <row r="701" spans="1:26"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c r="Z701" s="94"/>
    </row>
    <row r="702" spans="1:26"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c r="Z702" s="94"/>
    </row>
    <row r="703" spans="1:26"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c r="Z703" s="94"/>
    </row>
    <row r="704" spans="1:26"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c r="Z704" s="94"/>
    </row>
    <row r="705" spans="1:26"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c r="Z705" s="94"/>
    </row>
    <row r="706" spans="1:26"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c r="Z706" s="94"/>
    </row>
    <row r="707" spans="1:26"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c r="Z707" s="94"/>
    </row>
    <row r="708" spans="1:26"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c r="Z708" s="94"/>
    </row>
    <row r="709" spans="1:26"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c r="Z709" s="94"/>
    </row>
    <row r="710" spans="1:26"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c r="Z710" s="94"/>
    </row>
    <row r="711" spans="1:26"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c r="Z711" s="94"/>
    </row>
    <row r="712" spans="1:26"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c r="Z712" s="94"/>
    </row>
    <row r="713" spans="1:26"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c r="Z713" s="94"/>
    </row>
    <row r="714" spans="1:26"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c r="Z714" s="94"/>
    </row>
    <row r="715" spans="1:26"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c r="Z715" s="94"/>
    </row>
    <row r="716" spans="1:26"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c r="Z716" s="94"/>
    </row>
    <row r="717" spans="1:26"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c r="Z717" s="94"/>
    </row>
    <row r="718" spans="1:26"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c r="Z718" s="94"/>
    </row>
    <row r="719" spans="1:26"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c r="Z719" s="94"/>
    </row>
    <row r="720" spans="1:26"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c r="Z720" s="94"/>
    </row>
    <row r="721" spans="1:26"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c r="Z721" s="94"/>
    </row>
    <row r="722" spans="1:26"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c r="Z722" s="94"/>
    </row>
    <row r="723" spans="1:26"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c r="Z723" s="94"/>
    </row>
    <row r="724" spans="1:26"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c r="Z724" s="94"/>
    </row>
    <row r="725" spans="1:26"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c r="Z725" s="94"/>
    </row>
    <row r="726" spans="1:26"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c r="Z726" s="94"/>
    </row>
    <row r="727" spans="1:26"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c r="Z727" s="94"/>
    </row>
    <row r="728" spans="1:26"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c r="Z728" s="94"/>
    </row>
    <row r="729" spans="1:26"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c r="Z729" s="94"/>
    </row>
    <row r="730" spans="1:26"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c r="Z730" s="94"/>
    </row>
    <row r="731" spans="1:26"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c r="Z731" s="94"/>
    </row>
    <row r="732" spans="1:26"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c r="Z732" s="94"/>
    </row>
    <row r="733" spans="1:26"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c r="Z733" s="94"/>
    </row>
    <row r="734" spans="1:26"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c r="Z734" s="94"/>
    </row>
    <row r="735" spans="1:26"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c r="Z735" s="94"/>
    </row>
    <row r="736" spans="1:26"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c r="Z736" s="94"/>
    </row>
    <row r="737" spans="1:26"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c r="Z737" s="94"/>
    </row>
    <row r="738" spans="1:26"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c r="Z738" s="94"/>
    </row>
    <row r="739" spans="1:26"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c r="Z739" s="94"/>
    </row>
    <row r="740" spans="1:26"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c r="Z740" s="94"/>
    </row>
    <row r="741" spans="1:26"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c r="Z741" s="94"/>
    </row>
    <row r="742" spans="1:26"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c r="Z742" s="94"/>
    </row>
    <row r="743" spans="1:26"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c r="Z743" s="94"/>
    </row>
    <row r="744" spans="1:26"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c r="Z744" s="94"/>
    </row>
    <row r="745" spans="1:26"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c r="Z745" s="94"/>
    </row>
    <row r="746" spans="1:26"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c r="Z746" s="94"/>
    </row>
    <row r="747" spans="1:26"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c r="Z747" s="94"/>
    </row>
    <row r="748" spans="1:26"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c r="Z748" s="94"/>
    </row>
    <row r="749" spans="1:26"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c r="Z749" s="94"/>
    </row>
    <row r="750" spans="1:26"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c r="Z750" s="94"/>
    </row>
    <row r="751" spans="1:26"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c r="Z751" s="94"/>
    </row>
    <row r="752" spans="1:26"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c r="Z752" s="94"/>
    </row>
    <row r="753" spans="1:26"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c r="Z753" s="94"/>
    </row>
    <row r="754" spans="1:26"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c r="Z754" s="94"/>
    </row>
    <row r="755" spans="1:26"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c r="Z755" s="94"/>
    </row>
    <row r="756" spans="1:26"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c r="Z756" s="94"/>
    </row>
    <row r="757" spans="1:26"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c r="Z757" s="94"/>
    </row>
    <row r="758" spans="1:26"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c r="Z758" s="94"/>
    </row>
    <row r="759" spans="1:26"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c r="Z759" s="94"/>
    </row>
    <row r="760" spans="1:26"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c r="Z760" s="94"/>
    </row>
    <row r="761" spans="1:26"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c r="Z761" s="94"/>
    </row>
    <row r="762" spans="1:26"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c r="Z762" s="94"/>
    </row>
    <row r="763" spans="1:26"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c r="Z763" s="94"/>
    </row>
    <row r="764" spans="1:26"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c r="Z764" s="94"/>
    </row>
    <row r="765" spans="1:26"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c r="Z765" s="94"/>
    </row>
    <row r="766" spans="1:26"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c r="Z766" s="94"/>
    </row>
    <row r="767" spans="1:26"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c r="Z767" s="94"/>
    </row>
    <row r="768" spans="1:26"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c r="Z768" s="94"/>
    </row>
    <row r="769" spans="1:26"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c r="Z769" s="94"/>
    </row>
    <row r="770" spans="1:26"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c r="Z770" s="94"/>
    </row>
    <row r="771" spans="1:26"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c r="Z771" s="94"/>
    </row>
    <row r="772" spans="1:26"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c r="Z772" s="94"/>
    </row>
    <row r="773" spans="1:26"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c r="Z773" s="94"/>
    </row>
    <row r="774" spans="1:26"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c r="Z774" s="94"/>
    </row>
    <row r="775" spans="1:26"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c r="Z775" s="94"/>
    </row>
    <row r="776" spans="1:26"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c r="Z776" s="94"/>
    </row>
    <row r="777" spans="1:26"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c r="Z777" s="94"/>
    </row>
    <row r="778" spans="1:26"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c r="Z778" s="94"/>
    </row>
    <row r="779" spans="1:26"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c r="Z779" s="94"/>
    </row>
    <row r="780" spans="1:26"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c r="Z780" s="94"/>
    </row>
    <row r="781" spans="1:26"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c r="Z781" s="94"/>
    </row>
    <row r="782" spans="1:26"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c r="Z782" s="94"/>
    </row>
    <row r="783" spans="1:26"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c r="Z783" s="94"/>
    </row>
    <row r="784" spans="1:26"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c r="Z784" s="94"/>
    </row>
    <row r="785" spans="1:26"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c r="Z785" s="94"/>
    </row>
    <row r="786" spans="1:26"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c r="Z786" s="94"/>
    </row>
    <row r="787" spans="1:26"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c r="Z787" s="94"/>
    </row>
    <row r="788" spans="1:26"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c r="Z788" s="94"/>
    </row>
    <row r="789" spans="1:26"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c r="Z789" s="94"/>
    </row>
    <row r="790" spans="1:26"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c r="Z790" s="94"/>
    </row>
    <row r="791" spans="1:26"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c r="Z791" s="94"/>
    </row>
    <row r="792" spans="1:26"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c r="Z792" s="94"/>
    </row>
    <row r="793" spans="1:26"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c r="Z793" s="94"/>
    </row>
    <row r="794" spans="1:26"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c r="Z794" s="94"/>
    </row>
    <row r="795" spans="1:26"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c r="Z795" s="94"/>
    </row>
    <row r="796" spans="1:26"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c r="Z796" s="94"/>
    </row>
    <row r="797" spans="1:26"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c r="Z797" s="94"/>
    </row>
    <row r="798" spans="1:26"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c r="Z798" s="94"/>
    </row>
    <row r="799" spans="1:26"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c r="Z799" s="94"/>
    </row>
    <row r="800" spans="1:26"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c r="Z800" s="94"/>
    </row>
    <row r="801" spans="1:26"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c r="Z801" s="94"/>
    </row>
    <row r="802" spans="1:26"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c r="Z802" s="94"/>
    </row>
    <row r="803" spans="1:26"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c r="Z803" s="94"/>
    </row>
    <row r="804" spans="1:26"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c r="Z804" s="94"/>
    </row>
    <row r="805" spans="1:26"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c r="Z805" s="94"/>
    </row>
    <row r="806" spans="1:26"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c r="Z806" s="94"/>
    </row>
    <row r="807" spans="1:26"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c r="Z807" s="94"/>
    </row>
    <row r="808" spans="1:26"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c r="Z808" s="94"/>
    </row>
    <row r="809" spans="1:26"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c r="Z809" s="94"/>
    </row>
    <row r="810" spans="1:26"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c r="Z810" s="94"/>
    </row>
    <row r="811" spans="1:26"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c r="Z811" s="94"/>
    </row>
    <row r="812" spans="1:26"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c r="Z812" s="94"/>
    </row>
    <row r="813" spans="1:26"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c r="Z813" s="94"/>
    </row>
    <row r="814" spans="1:26"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c r="Z814" s="94"/>
    </row>
    <row r="815" spans="1:26"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c r="Z815" s="94"/>
    </row>
    <row r="816" spans="1:26"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c r="Z816" s="94"/>
    </row>
    <row r="817" spans="1:26"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c r="Z817" s="94"/>
    </row>
    <row r="818" spans="1:26"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c r="Z818" s="94"/>
    </row>
    <row r="819" spans="1:26"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c r="Z819" s="94"/>
    </row>
    <row r="820" spans="1:26"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c r="Z820" s="94"/>
    </row>
    <row r="821" spans="1:26"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c r="Z821" s="94"/>
    </row>
    <row r="822" spans="1:26"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c r="Z822" s="94"/>
    </row>
    <row r="823" spans="1:26"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c r="Z823" s="94"/>
    </row>
    <row r="824" spans="1:26"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c r="Z824" s="94"/>
    </row>
    <row r="825" spans="1:26"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c r="Z825" s="94"/>
    </row>
    <row r="826" spans="1:26"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c r="Z826" s="94"/>
    </row>
    <row r="827" spans="1:26"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c r="Z827" s="94"/>
    </row>
    <row r="828" spans="1:26"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c r="Z828" s="94"/>
    </row>
    <row r="829" spans="1:26"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c r="Z829" s="94"/>
    </row>
    <row r="830" spans="1:26"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c r="Z830" s="94"/>
    </row>
    <row r="831" spans="1:26"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c r="Z831" s="94"/>
    </row>
    <row r="832" spans="1:26"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c r="Z832" s="94"/>
    </row>
    <row r="833" spans="1:26"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c r="Z833" s="94"/>
    </row>
    <row r="834" spans="1:26"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c r="Z834" s="94"/>
    </row>
    <row r="835" spans="1:26"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c r="Z835" s="94"/>
    </row>
    <row r="836" spans="1:26"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c r="Z836" s="94"/>
    </row>
    <row r="837" spans="1:26"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c r="Z837" s="94"/>
    </row>
    <row r="838" spans="1:26"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c r="Z838" s="94"/>
    </row>
    <row r="839" spans="1:26"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c r="Z839" s="94"/>
    </row>
    <row r="840" spans="1:26"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c r="Z840" s="94"/>
    </row>
    <row r="841" spans="1:26"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c r="Z841" s="94"/>
    </row>
    <row r="842" spans="1:26"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c r="Z842" s="94"/>
    </row>
    <row r="843" spans="1:26"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c r="Z843" s="94"/>
    </row>
    <row r="844" spans="1:26"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c r="Z844" s="94"/>
    </row>
    <row r="845" spans="1:26"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c r="Z845" s="94"/>
    </row>
    <row r="846" spans="1:26"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c r="Z846" s="94"/>
    </row>
    <row r="847" spans="1:26"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c r="Z847" s="94"/>
    </row>
    <row r="848" spans="1:26"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c r="Z848" s="94"/>
    </row>
    <row r="849" spans="1:26"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c r="Z849" s="94"/>
    </row>
    <row r="850" spans="1:26"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c r="Z850" s="94"/>
    </row>
    <row r="851" spans="1:26"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c r="Z851" s="94"/>
    </row>
    <row r="852" spans="1:26"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c r="Z852" s="94"/>
    </row>
    <row r="853" spans="1:26"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c r="Z853" s="94"/>
    </row>
    <row r="854" spans="1:26"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c r="Z854" s="94"/>
    </row>
    <row r="855" spans="1:26"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c r="Z855" s="94"/>
    </row>
    <row r="856" spans="1:26"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c r="Z856" s="94"/>
    </row>
    <row r="857" spans="1:26"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c r="Z857" s="94"/>
    </row>
    <row r="858" spans="1:26"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c r="Z858" s="94"/>
    </row>
    <row r="859" spans="1:26"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c r="Z859" s="94"/>
    </row>
    <row r="860" spans="1:26"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c r="Z860" s="94"/>
    </row>
    <row r="861" spans="1:26"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c r="Z861" s="94"/>
    </row>
    <row r="862" spans="1:26"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c r="Z862" s="94"/>
    </row>
    <row r="863" spans="1:26"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c r="Z863" s="94"/>
    </row>
    <row r="864" spans="1:26"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c r="Z864" s="94"/>
    </row>
    <row r="865" spans="1:26"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c r="Z865" s="94"/>
    </row>
    <row r="866" spans="1:26"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c r="Z866" s="94"/>
    </row>
    <row r="867" spans="1:26"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c r="Z867" s="94"/>
    </row>
    <row r="868" spans="1:26"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c r="Z868" s="94"/>
    </row>
    <row r="869" spans="1:26"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c r="Z869" s="94"/>
    </row>
    <row r="870" spans="1:26"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c r="Z870" s="94"/>
    </row>
    <row r="871" spans="1:26"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c r="Z871" s="94"/>
    </row>
    <row r="872" spans="1:26"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c r="Z872" s="94"/>
    </row>
    <row r="873" spans="1:26"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c r="Z873" s="94"/>
    </row>
    <row r="874" spans="1:26"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c r="Z874" s="94"/>
    </row>
    <row r="875" spans="1:26"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c r="Z875" s="94"/>
    </row>
    <row r="876" spans="1:26"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c r="Z876" s="94"/>
    </row>
    <row r="877" spans="1:26"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c r="Z877" s="94"/>
    </row>
    <row r="878" spans="1:26"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c r="Z878" s="94"/>
    </row>
    <row r="879" spans="1:26"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c r="Z879" s="94"/>
    </row>
    <row r="880" spans="1:26"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c r="Z880" s="94"/>
    </row>
    <row r="881" spans="1:26"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c r="Z881" s="94"/>
    </row>
    <row r="882" spans="1:26"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c r="Z882" s="94"/>
    </row>
    <row r="883" spans="1:26"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c r="Z883" s="94"/>
    </row>
    <row r="884" spans="1:26"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c r="Z884" s="94"/>
    </row>
    <row r="885" spans="1:26"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c r="Z885" s="94"/>
    </row>
    <row r="886" spans="1:26"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c r="Z886" s="94"/>
    </row>
    <row r="887" spans="1:26"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c r="Z887" s="94"/>
    </row>
    <row r="888" spans="1:26"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c r="Z888" s="94"/>
    </row>
    <row r="889" spans="1:26"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c r="Z889" s="94"/>
    </row>
    <row r="890" spans="1:26"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c r="Z890" s="94"/>
    </row>
    <row r="891" spans="1:26"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c r="Z891" s="94"/>
    </row>
    <row r="892" spans="1:26"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c r="Z892" s="94"/>
    </row>
    <row r="893" spans="1:26"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c r="Z893" s="94"/>
    </row>
    <row r="894" spans="1:26"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c r="Z894" s="94"/>
    </row>
    <row r="895" spans="1:26"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c r="Z895" s="94"/>
    </row>
    <row r="896" spans="1:26"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c r="Z896" s="94"/>
    </row>
    <row r="897" spans="1:26"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c r="Z897" s="94"/>
    </row>
    <row r="898" spans="1:26"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c r="Z898" s="94"/>
    </row>
    <row r="899" spans="1:26"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c r="Z899" s="94"/>
    </row>
    <row r="900" spans="1:26"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c r="Z900" s="94"/>
    </row>
    <row r="901" spans="1:26"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c r="Z901" s="94"/>
    </row>
    <row r="902" spans="1:26"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c r="Z902" s="94"/>
    </row>
    <row r="903" spans="1:26"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c r="Z903" s="94"/>
    </row>
    <row r="904" spans="1:26"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c r="Z904" s="94"/>
    </row>
    <row r="905" spans="1:26"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c r="Z905" s="94"/>
    </row>
    <row r="906" spans="1:26"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c r="Z906" s="94"/>
    </row>
    <row r="907" spans="1:26"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c r="Z907" s="94"/>
    </row>
    <row r="908" spans="1:26"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c r="Z908" s="94"/>
    </row>
    <row r="909" spans="1:26"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c r="Z909" s="94"/>
    </row>
    <row r="910" spans="1:26"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c r="Z910" s="94"/>
    </row>
    <row r="911" spans="1:26"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c r="Z911" s="94"/>
    </row>
    <row r="912" spans="1:26"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c r="Z912" s="94"/>
    </row>
    <row r="913" spans="1:26"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c r="Z913" s="94"/>
    </row>
    <row r="914" spans="1:26"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c r="Z914" s="94"/>
    </row>
    <row r="915" spans="1:26"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c r="Z915" s="94"/>
    </row>
    <row r="916" spans="1:26"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c r="Z916" s="94"/>
    </row>
    <row r="917" spans="1:26"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c r="Z917" s="94"/>
    </row>
    <row r="918" spans="1:26"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c r="Z918" s="94"/>
    </row>
    <row r="919" spans="1:26"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c r="Z919" s="94"/>
    </row>
    <row r="920" spans="1:26"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c r="Z920" s="94"/>
    </row>
    <row r="921" spans="1:26"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c r="Z921" s="94"/>
    </row>
    <row r="922" spans="1:26"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c r="Z922" s="94"/>
    </row>
    <row r="923" spans="1:26"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c r="Z923" s="94"/>
    </row>
    <row r="924" spans="1:26"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c r="Z924" s="94"/>
    </row>
    <row r="925" spans="1:26"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c r="Z925" s="94"/>
    </row>
    <row r="926" spans="1:26"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c r="Z926" s="94"/>
    </row>
    <row r="927" spans="1:26"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c r="Z927" s="94"/>
    </row>
    <row r="928" spans="1:26"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c r="Z928" s="94"/>
    </row>
    <row r="929" spans="1:26"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c r="Z929" s="94"/>
    </row>
    <row r="930" spans="1:26"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c r="Z930" s="94"/>
    </row>
    <row r="931" spans="1:26"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c r="Z931" s="94"/>
    </row>
    <row r="932" spans="1:26"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c r="Z932" s="94"/>
    </row>
    <row r="933" spans="1:26"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c r="Z933" s="94"/>
    </row>
    <row r="934" spans="1:26"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c r="Z934" s="94"/>
    </row>
    <row r="935" spans="1:26"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c r="Z935" s="94"/>
    </row>
    <row r="936" spans="1:26"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c r="Z936" s="94"/>
    </row>
    <row r="937" spans="1:26"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c r="Z937" s="94"/>
    </row>
    <row r="938" spans="1:26"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c r="Z938" s="94"/>
    </row>
    <row r="939" spans="1:26"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c r="Z939" s="94"/>
    </row>
    <row r="940" spans="1:26"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c r="Z940" s="94"/>
    </row>
    <row r="941" spans="1:26"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c r="Z941" s="94"/>
    </row>
    <row r="942" spans="1:26"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c r="Z942" s="94"/>
    </row>
    <row r="943" spans="1:26"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c r="Z943" s="94"/>
    </row>
    <row r="944" spans="1:26"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c r="Z944" s="94"/>
    </row>
    <row r="945" spans="1:26"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c r="Z945" s="94"/>
    </row>
    <row r="946" spans="1:26"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c r="Z946" s="94"/>
    </row>
    <row r="947" spans="1:26"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c r="Z947" s="94"/>
    </row>
    <row r="948" spans="1:26"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c r="Z948" s="94"/>
    </row>
    <row r="949" spans="1:26"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c r="Z949" s="94"/>
    </row>
    <row r="950" spans="1:26"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c r="Z950" s="94"/>
    </row>
    <row r="951" spans="1:26"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c r="Z951" s="94"/>
    </row>
    <row r="952" spans="1:26"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c r="Z952" s="94"/>
    </row>
    <row r="953" spans="1:26"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c r="Z953" s="94"/>
    </row>
    <row r="954" spans="1:26"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c r="Z954" s="94"/>
    </row>
    <row r="955" spans="1:26"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c r="Z955" s="94"/>
    </row>
    <row r="956" spans="1:26"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c r="Z956" s="94"/>
    </row>
    <row r="957" spans="1:26"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c r="Z957" s="94"/>
    </row>
    <row r="958" spans="1:26"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c r="Z958" s="94"/>
    </row>
    <row r="959" spans="1:26"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c r="Z959" s="94"/>
    </row>
    <row r="960" spans="1:26"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c r="Z960" s="94"/>
    </row>
    <row r="961" spans="1:26"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c r="Z961" s="94"/>
    </row>
    <row r="962" spans="1:26"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c r="Z962" s="94"/>
    </row>
    <row r="963" spans="1:26"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c r="Z963" s="94"/>
    </row>
    <row r="964" spans="1:26"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c r="Z964" s="94"/>
    </row>
    <row r="965" spans="1:26"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c r="Z965" s="94"/>
    </row>
    <row r="966" spans="1:26"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c r="Z966" s="94"/>
    </row>
    <row r="967" spans="1:26"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c r="Z967" s="94"/>
    </row>
    <row r="968" spans="1:26"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c r="Z968" s="94"/>
    </row>
    <row r="969" spans="1:26"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c r="Z969" s="94"/>
    </row>
    <row r="970" spans="1:26"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c r="Z970" s="94"/>
    </row>
    <row r="971" spans="1:26"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c r="Z971" s="94"/>
    </row>
    <row r="972" spans="1:26"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c r="Z972" s="94"/>
    </row>
    <row r="973" spans="1:26" ht="15.75">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Z973" s="94"/>
    </row>
    <row r="974" spans="1:26" ht="15.75">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Z974" s="94"/>
    </row>
    <row r="975" spans="1:26" ht="15.75">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Z975" s="94"/>
    </row>
    <row r="976" spans="1:26" ht="15.75">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Z976" s="94"/>
    </row>
    <row r="977" spans="1:26" ht="15.75">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Z977" s="94"/>
    </row>
    <row r="978" spans="1:26" ht="15.75">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Z978" s="94"/>
    </row>
    <row r="979" spans="1:26" ht="15.75">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Z979" s="94"/>
    </row>
    <row r="980" spans="1:26" ht="15.75">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Z980" s="94"/>
    </row>
    <row r="981" spans="1:26" ht="15.75">
      <c r="A981" s="94"/>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Z981" s="94"/>
    </row>
    <row r="982" spans="1:26" ht="15.75">
      <c r="A982" s="94"/>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Z982" s="94"/>
    </row>
    <row r="983" spans="1:26" ht="15.75">
      <c r="A983" s="94"/>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Z983" s="94"/>
    </row>
    <row r="984" spans="1:26" ht="15.75">
      <c r="A984" s="94"/>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Z984" s="94"/>
    </row>
    <row r="985" spans="1:26" ht="15.75">
      <c r="A985" s="94"/>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Z985" s="94"/>
    </row>
    <row r="986" spans="1:26" ht="15.75">
      <c r="A986" s="94"/>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Z986" s="94"/>
    </row>
    <row r="987" spans="1:26" ht="15.75">
      <c r="A987" s="94"/>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Z987" s="94"/>
    </row>
    <row r="988" spans="1:26" ht="15.75">
      <c r="A988" s="94"/>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Z988" s="94"/>
    </row>
    <row r="989" spans="1:26" ht="15.75">
      <c r="A989" s="94"/>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Z989" s="94"/>
    </row>
    <row r="990" spans="1:26" ht="15.75">
      <c r="A990" s="94"/>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Z990" s="94"/>
    </row>
    <row r="991" spans="1:26" ht="15.75">
      <c r="A991" s="94"/>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Z991" s="94"/>
    </row>
    <row r="992" spans="1:26" ht="15.75">
      <c r="A992" s="94"/>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Z992" s="94"/>
    </row>
    <row r="993" spans="1:26" ht="15.75">
      <c r="A993" s="94"/>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Z993" s="94"/>
    </row>
    <row r="994" spans="1:26" ht="15.75">
      <c r="A994" s="94"/>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Z994" s="94"/>
    </row>
    <row r="995" spans="1:26" ht="15.75">
      <c r="A995" s="94"/>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Z995" s="94"/>
    </row>
    <row r="996" spans="1:26" ht="15.75">
      <c r="A996" s="94"/>
      <c r="B996" s="94"/>
      <c r="C996" s="94"/>
      <c r="D996" s="94"/>
      <c r="E996" s="94"/>
      <c r="F996" s="94"/>
      <c r="G996" s="94"/>
      <c r="H996" s="94"/>
      <c r="I996" s="94"/>
      <c r="J996" s="94"/>
      <c r="K996" s="94"/>
      <c r="L996" s="94"/>
      <c r="M996" s="94"/>
      <c r="N996" s="94"/>
      <c r="O996" s="94"/>
      <c r="P996" s="94"/>
      <c r="Q996" s="94"/>
      <c r="R996" s="94"/>
      <c r="S996" s="94"/>
      <c r="T996" s="94"/>
      <c r="U996" s="94"/>
      <c r="V996" s="94"/>
      <c r="W996" s="94"/>
      <c r="X996" s="94"/>
      <c r="Z996" s="94"/>
    </row>
    <row r="997" spans="1:26" ht="15.75">
      <c r="A997" s="94"/>
      <c r="B997" s="94"/>
      <c r="C997" s="94"/>
      <c r="D997" s="94"/>
      <c r="E997" s="94"/>
      <c r="F997" s="94"/>
      <c r="G997" s="94"/>
      <c r="H997" s="94"/>
      <c r="I997" s="94"/>
      <c r="J997" s="94"/>
      <c r="K997" s="94"/>
      <c r="L997" s="94"/>
      <c r="M997" s="94"/>
      <c r="N997" s="94"/>
      <c r="O997" s="94"/>
      <c r="P997" s="94"/>
      <c r="Q997" s="94"/>
      <c r="R997" s="94"/>
      <c r="S997" s="94"/>
      <c r="T997" s="94"/>
      <c r="U997" s="94"/>
      <c r="V997" s="94"/>
      <c r="W997" s="94"/>
      <c r="X997" s="94"/>
      <c r="Z997" s="94"/>
    </row>
    <row r="998" spans="1:26" ht="15.75">
      <c r="A998" s="94"/>
      <c r="B998" s="94"/>
      <c r="C998" s="94"/>
      <c r="D998" s="94"/>
      <c r="E998" s="94"/>
      <c r="F998" s="94"/>
      <c r="G998" s="94"/>
      <c r="H998" s="94"/>
      <c r="I998" s="94"/>
      <c r="J998" s="94"/>
      <c r="K998" s="94"/>
      <c r="L998" s="94"/>
      <c r="M998" s="94"/>
      <c r="N998" s="94"/>
      <c r="O998" s="94"/>
      <c r="P998" s="94"/>
      <c r="Q998" s="94"/>
      <c r="R998" s="94"/>
      <c r="S998" s="94"/>
      <c r="T998" s="94"/>
      <c r="U998" s="94"/>
      <c r="V998" s="94"/>
      <c r="W998" s="94"/>
      <c r="X998" s="94"/>
      <c r="Z998" s="94"/>
    </row>
    <row r="999" spans="1:26" ht="15.75">
      <c r="A999" s="94"/>
      <c r="B999" s="94"/>
      <c r="C999" s="94"/>
      <c r="D999" s="94"/>
      <c r="E999" s="94"/>
      <c r="F999" s="94"/>
      <c r="G999" s="94"/>
      <c r="H999" s="94"/>
      <c r="I999" s="94"/>
      <c r="J999" s="94"/>
      <c r="K999" s="94"/>
      <c r="L999" s="94"/>
      <c r="M999" s="94"/>
      <c r="N999" s="94"/>
      <c r="O999" s="94"/>
      <c r="P999" s="94"/>
      <c r="Q999" s="94"/>
      <c r="R999" s="94"/>
      <c r="S999" s="94"/>
      <c r="T999" s="94"/>
      <c r="U999" s="94"/>
      <c r="V999" s="94"/>
      <c r="W999" s="94"/>
      <c r="X999" s="94"/>
      <c r="Z999" s="94"/>
    </row>
    <row r="1000" spans="1:26" ht="15.75">
      <c r="A1000" s="94"/>
      <c r="B1000" s="94"/>
      <c r="C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Z1000" s="94"/>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13.xml><?xml version="1.0" encoding="utf-8"?>
<worksheet xmlns="http://schemas.openxmlformats.org/spreadsheetml/2006/main" xmlns:r="http://schemas.openxmlformats.org/officeDocument/2006/relationships">
  <sheetPr>
    <outlinePr summaryBelow="0" summaryRight="0"/>
  </sheetPr>
  <dimension ref="A1:Y972"/>
  <sheetViews>
    <sheetView topLeftCell="C1" workbookViewId="0">
      <pane ySplit="5" topLeftCell="A196" activePane="bottomLeft" state="frozen"/>
      <selection pane="bottomLeft" activeCell="Y203" sqref="Y203"/>
    </sheetView>
  </sheetViews>
  <sheetFormatPr defaultColWidth="14.42578125" defaultRowHeight="15" customHeight="1"/>
  <cols>
    <col min="1" max="1" width="5.140625" customWidth="1"/>
    <col min="2" max="2" width="7" customWidth="1"/>
    <col min="3" max="3" width="11.42578125" customWidth="1"/>
    <col min="4" max="4" width="8.140625" customWidth="1"/>
    <col min="5" max="5" width="25.42578125" customWidth="1"/>
    <col min="6" max="6" width="8.7109375" customWidth="1"/>
    <col min="7" max="7" width="7.5703125" hidden="1" customWidth="1"/>
    <col min="8" max="8" width="8.140625" customWidth="1"/>
    <col min="9" max="9" width="8.28515625" customWidth="1"/>
    <col min="10" max="10" width="9.28515625" customWidth="1"/>
    <col min="11" max="11" width="8.42578125" hidden="1" customWidth="1"/>
    <col min="12" max="12" width="9.5703125" customWidth="1"/>
    <col min="13" max="13" width="4.5703125" hidden="1" customWidth="1"/>
    <col min="14" max="14" width="11.42578125" customWidth="1"/>
    <col min="15" max="15" width="10.140625" customWidth="1"/>
    <col min="16" max="16" width="7.85546875" customWidth="1"/>
    <col min="17" max="17" width="10.85546875" hidden="1" customWidth="1"/>
    <col min="18" max="18" width="9.5703125" customWidth="1"/>
    <col min="19" max="19" width="9.7109375" hidden="1" customWidth="1"/>
    <col min="20" max="20" width="11.140625" customWidth="1"/>
    <col min="21" max="21" width="14.140625" hidden="1" customWidth="1"/>
    <col min="22" max="22" width="9.85546875" customWidth="1"/>
    <col min="23" max="23" width="9.140625" hidden="1" customWidth="1"/>
    <col min="24" max="24" width="9.42578125" customWidth="1"/>
    <col min="25" max="25" width="34.28515625" style="419" customWidth="1"/>
  </cols>
  <sheetData>
    <row r="1" spans="1:25" ht="20.25" customHeight="1">
      <c r="A1" s="7"/>
      <c r="B1" s="1"/>
      <c r="C1" s="1"/>
      <c r="D1" s="2"/>
      <c r="E1" s="509" t="s">
        <v>558</v>
      </c>
      <c r="F1" s="510"/>
      <c r="G1" s="510"/>
      <c r="H1" s="510"/>
      <c r="I1" s="510"/>
      <c r="J1" s="510"/>
      <c r="K1" s="510"/>
      <c r="L1" s="510"/>
      <c r="M1" s="3"/>
      <c r="N1" s="3"/>
      <c r="O1" s="4"/>
      <c r="P1" s="4"/>
      <c r="Q1" s="4"/>
      <c r="R1" s="4"/>
      <c r="S1" s="4"/>
      <c r="T1" s="4"/>
      <c r="U1" s="4"/>
      <c r="V1" s="4"/>
      <c r="W1" s="4"/>
      <c r="X1" s="4"/>
      <c r="Y1" s="5"/>
    </row>
    <row r="2" spans="1:25" ht="10.5" customHeight="1">
      <c r="A2" s="4"/>
      <c r="B2" s="4"/>
      <c r="C2" s="4"/>
      <c r="D2" s="4"/>
      <c r="E2" s="4"/>
      <c r="F2" s="4"/>
      <c r="G2" s="4"/>
      <c r="H2" s="4"/>
      <c r="I2" s="4"/>
      <c r="J2" s="4"/>
      <c r="K2" s="4"/>
      <c r="L2" s="4"/>
      <c r="M2" s="4"/>
      <c r="N2" s="4"/>
      <c r="O2" s="4"/>
      <c r="P2" s="4"/>
      <c r="Q2" s="4"/>
      <c r="R2" s="4"/>
      <c r="S2" s="4"/>
      <c r="T2" s="4"/>
      <c r="U2" s="4"/>
      <c r="V2" s="4"/>
      <c r="W2" s="4"/>
      <c r="X2" s="4"/>
      <c r="Y2" s="5"/>
    </row>
    <row r="3" spans="1:25" ht="22.5" customHeight="1">
      <c r="A3" s="4"/>
      <c r="B3" s="338"/>
      <c r="C3" s="338"/>
      <c r="D3" s="338"/>
      <c r="E3" s="338" t="s">
        <v>401</v>
      </c>
      <c r="F3" s="338"/>
      <c r="G3" s="338"/>
      <c r="H3" s="338"/>
      <c r="I3" s="338"/>
      <c r="J3" s="338"/>
      <c r="K3" s="338"/>
      <c r="L3" s="338"/>
      <c r="M3" s="338"/>
      <c r="N3" s="338"/>
      <c r="O3" s="338"/>
      <c r="P3" s="338"/>
      <c r="Q3" s="338"/>
      <c r="R3" s="338"/>
      <c r="S3" s="338"/>
      <c r="T3" s="338"/>
      <c r="U3" s="338"/>
      <c r="V3" s="338"/>
      <c r="W3" s="339"/>
      <c r="X3" s="506" t="s">
        <v>2</v>
      </c>
      <c r="Y3" s="507"/>
    </row>
    <row r="4" spans="1:25" ht="40.5"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26.2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39" customHeight="1">
      <c r="A6" s="477" t="s">
        <v>24</v>
      </c>
      <c r="B6" s="476" t="s">
        <v>25</v>
      </c>
      <c r="C6" s="476" t="s">
        <v>26</v>
      </c>
      <c r="D6" s="106">
        <v>1</v>
      </c>
      <c r="E6" s="223"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7"/>
    </row>
    <row r="7" spans="1:25" ht="47.25">
      <c r="A7" s="469"/>
      <c r="B7" s="469"/>
      <c r="C7" s="469"/>
      <c r="D7" s="106">
        <v>2</v>
      </c>
      <c r="E7" s="115" t="s">
        <v>28</v>
      </c>
      <c r="F7" s="116"/>
      <c r="G7" s="116"/>
      <c r="H7" s="116"/>
      <c r="I7" s="116"/>
      <c r="J7" s="116">
        <f t="shared" si="0"/>
        <v>0</v>
      </c>
      <c r="K7" s="116"/>
      <c r="L7" s="116"/>
      <c r="M7" s="116"/>
      <c r="N7" s="116"/>
      <c r="O7" s="119"/>
      <c r="P7" s="117">
        <f t="shared" si="1"/>
        <v>0</v>
      </c>
      <c r="Q7" s="120"/>
      <c r="R7" s="120"/>
      <c r="S7" s="121"/>
      <c r="T7" s="121"/>
      <c r="U7" s="116"/>
      <c r="V7" s="116"/>
      <c r="W7" s="117"/>
      <c r="X7" s="117">
        <f t="shared" si="2"/>
        <v>0</v>
      </c>
      <c r="Y7" s="97"/>
    </row>
    <row r="8" spans="1:25" ht="221.25" customHeight="1">
      <c r="A8" s="469"/>
      <c r="B8" s="469"/>
      <c r="C8" s="469"/>
      <c r="D8" s="106">
        <v>3</v>
      </c>
      <c r="E8" s="106" t="s">
        <v>29</v>
      </c>
      <c r="F8" s="121">
        <v>47.084110000000003</v>
      </c>
      <c r="G8" s="116" t="s">
        <v>350</v>
      </c>
      <c r="H8" s="120"/>
      <c r="I8" s="120"/>
      <c r="J8" s="116">
        <f t="shared" si="0"/>
        <v>0</v>
      </c>
      <c r="K8" s="120"/>
      <c r="L8" s="120"/>
      <c r="M8" s="120"/>
      <c r="N8" s="120"/>
      <c r="O8" s="120"/>
      <c r="P8" s="116">
        <f t="shared" si="1"/>
        <v>0</v>
      </c>
      <c r="Q8" s="120"/>
      <c r="R8" s="120"/>
      <c r="S8" s="120"/>
      <c r="T8" s="120"/>
      <c r="U8" s="116"/>
      <c r="V8" s="116"/>
      <c r="W8" s="117"/>
      <c r="X8" s="117">
        <f t="shared" si="2"/>
        <v>47.084110000000003</v>
      </c>
      <c r="Y8" s="97" t="s">
        <v>873</v>
      </c>
    </row>
    <row r="9" spans="1:25" ht="409.5">
      <c r="A9" s="469"/>
      <c r="B9" s="469"/>
      <c r="C9" s="469"/>
      <c r="D9" s="106">
        <v>4</v>
      </c>
      <c r="E9" s="106" t="s">
        <v>30</v>
      </c>
      <c r="F9" s="116"/>
      <c r="G9" s="116"/>
      <c r="H9" s="116"/>
      <c r="I9" s="116"/>
      <c r="J9" s="116">
        <f t="shared" si="0"/>
        <v>0</v>
      </c>
      <c r="K9" s="116"/>
      <c r="L9" s="116"/>
      <c r="M9" s="116"/>
      <c r="N9" s="116"/>
      <c r="O9" s="390">
        <v>66.587999999999994</v>
      </c>
      <c r="P9" s="116">
        <f t="shared" si="1"/>
        <v>66.587999999999994</v>
      </c>
      <c r="Q9" s="122"/>
      <c r="R9" s="391">
        <v>81.600999999999999</v>
      </c>
      <c r="S9" s="121"/>
      <c r="T9" s="121">
        <v>87.985399999999998</v>
      </c>
      <c r="U9" s="120" t="s">
        <v>402</v>
      </c>
      <c r="V9" s="120"/>
      <c r="W9" s="117"/>
      <c r="X9" s="117">
        <f t="shared" si="2"/>
        <v>236.17439999999999</v>
      </c>
      <c r="Y9" s="97" t="s">
        <v>874</v>
      </c>
    </row>
    <row r="10" spans="1:25" ht="126"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48.600999999999999</v>
      </c>
      <c r="U10" s="120"/>
      <c r="V10" s="120"/>
      <c r="W10" s="117"/>
      <c r="X10" s="117">
        <f t="shared" si="2"/>
        <v>48.600999999999999</v>
      </c>
      <c r="Y10" s="97" t="s">
        <v>875</v>
      </c>
    </row>
    <row r="11" spans="1:25" ht="267.75">
      <c r="A11" s="469"/>
      <c r="B11" s="469"/>
      <c r="C11" s="469"/>
      <c r="D11" s="106">
        <v>6</v>
      </c>
      <c r="E11" s="106" t="s">
        <v>32</v>
      </c>
      <c r="F11" s="120">
        <v>1.69</v>
      </c>
      <c r="G11" s="120"/>
      <c r="H11" s="120"/>
      <c r="I11" s="120"/>
      <c r="J11" s="116">
        <f t="shared" si="0"/>
        <v>0</v>
      </c>
      <c r="K11" s="120"/>
      <c r="L11" s="120"/>
      <c r="M11" s="120"/>
      <c r="N11" s="120"/>
      <c r="O11" s="120"/>
      <c r="P11" s="116">
        <f t="shared" si="1"/>
        <v>0</v>
      </c>
      <c r="Q11" s="120"/>
      <c r="R11" s="120"/>
      <c r="S11" s="121"/>
      <c r="T11" s="121">
        <v>1.3</v>
      </c>
      <c r="U11" s="120"/>
      <c r="V11" s="120"/>
      <c r="W11" s="117"/>
      <c r="X11" s="117">
        <f t="shared" si="2"/>
        <v>2.99</v>
      </c>
      <c r="Y11" s="97" t="s">
        <v>876</v>
      </c>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7"/>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7"/>
    </row>
    <row r="14" spans="1:25" ht="47.25">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0.06</v>
      </c>
      <c r="U14" s="121"/>
      <c r="V14" s="121"/>
      <c r="W14" s="117"/>
      <c r="X14" s="117">
        <f t="shared" si="2"/>
        <v>0.06</v>
      </c>
      <c r="Y14" s="97" t="s">
        <v>877</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7"/>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7"/>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7"/>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7"/>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7"/>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20"/>
      <c r="V20" s="116"/>
      <c r="W20" s="117"/>
      <c r="X20" s="117">
        <f t="shared" si="2"/>
        <v>0</v>
      </c>
      <c r="Y20" s="97"/>
    </row>
    <row r="21" spans="1:25" ht="36.75" hidden="1"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7"/>
    </row>
    <row r="22" spans="1:25" ht="15.7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7"/>
    </row>
    <row r="23" spans="1:25" ht="31.5" hidden="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7"/>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7"/>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7"/>
    </row>
    <row r="26" spans="1:25" ht="144.75" customHeight="1">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21.576000000000001</v>
      </c>
      <c r="U26" s="116"/>
      <c r="V26" s="120"/>
      <c r="W26" s="117"/>
      <c r="X26" s="117">
        <f t="shared" si="2"/>
        <v>21.576000000000001</v>
      </c>
      <c r="Y26" s="97" t="s">
        <v>781</v>
      </c>
    </row>
    <row r="27" spans="1:25" ht="252">
      <c r="A27" s="469"/>
      <c r="B27" s="469"/>
      <c r="C27" s="469"/>
      <c r="D27" s="106">
        <v>22</v>
      </c>
      <c r="E27" s="106" t="s">
        <v>52</v>
      </c>
      <c r="F27" s="121"/>
      <c r="G27" s="120"/>
      <c r="H27" s="120"/>
      <c r="I27" s="121"/>
      <c r="J27" s="125">
        <f t="shared" si="0"/>
        <v>0</v>
      </c>
      <c r="K27" s="129"/>
      <c r="L27" s="129">
        <v>12.795500000000001</v>
      </c>
      <c r="M27" s="115"/>
      <c r="N27" s="120"/>
      <c r="O27" s="120"/>
      <c r="P27" s="116">
        <f t="shared" si="1"/>
        <v>0</v>
      </c>
      <c r="Q27" s="121"/>
      <c r="R27" s="121">
        <v>1</v>
      </c>
      <c r="S27" s="125"/>
      <c r="T27" s="121">
        <v>213.03450000000001</v>
      </c>
      <c r="U27" s="115"/>
      <c r="V27" s="120"/>
      <c r="W27" s="117"/>
      <c r="X27" s="117">
        <f t="shared" si="2"/>
        <v>226.83</v>
      </c>
      <c r="Y27" s="97" t="s">
        <v>782</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245"/>
    </row>
    <row r="29" spans="1:25" ht="171" customHeight="1">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4.55</v>
      </c>
      <c r="U29" s="298"/>
      <c r="V29" s="120"/>
      <c r="W29" s="117"/>
      <c r="X29" s="117">
        <f t="shared" si="2"/>
        <v>4.55</v>
      </c>
      <c r="Y29" s="97" t="s">
        <v>783</v>
      </c>
    </row>
    <row r="30" spans="1:25" ht="409.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2">
        <v>0.59399999999999997</v>
      </c>
      <c r="U30" s="115"/>
      <c r="V30" s="120"/>
      <c r="W30" s="117"/>
      <c r="X30" s="117">
        <f t="shared" si="2"/>
        <v>0.59399999999999997</v>
      </c>
      <c r="Y30" s="97" t="s">
        <v>784</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97"/>
    </row>
    <row r="32" spans="1:25" ht="63">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1</v>
      </c>
      <c r="U32" s="115"/>
      <c r="V32" s="120"/>
      <c r="W32" s="117"/>
      <c r="X32" s="117">
        <f t="shared" si="2"/>
        <v>1</v>
      </c>
      <c r="Y32" s="97" t="s">
        <v>798</v>
      </c>
    </row>
    <row r="33" spans="1:25" ht="50.25" customHeight="1">
      <c r="A33" s="469"/>
      <c r="B33" s="469"/>
      <c r="C33" s="469"/>
      <c r="D33" s="106">
        <v>28</v>
      </c>
      <c r="E33" s="106" t="s">
        <v>30</v>
      </c>
      <c r="F33" s="120"/>
      <c r="G33" s="120"/>
      <c r="H33" s="120"/>
      <c r="I33" s="120"/>
      <c r="J33" s="116">
        <f t="shared" si="0"/>
        <v>0</v>
      </c>
      <c r="K33" s="120"/>
      <c r="L33" s="120"/>
      <c r="M33" s="120"/>
      <c r="N33" s="120"/>
      <c r="O33" s="122">
        <v>8.0093999999999994</v>
      </c>
      <c r="P33" s="117">
        <f t="shared" si="1"/>
        <v>8.0093999999999994</v>
      </c>
      <c r="Q33" s="97"/>
      <c r="R33" s="122">
        <v>8.0093999999999994</v>
      </c>
      <c r="S33" s="97"/>
      <c r="T33" s="120"/>
      <c r="U33" s="120"/>
      <c r="V33" s="120"/>
      <c r="W33" s="117"/>
      <c r="X33" s="117">
        <f t="shared" si="2"/>
        <v>16.018799999999999</v>
      </c>
      <c r="Y33" s="135" t="s">
        <v>785</v>
      </c>
    </row>
    <row r="34" spans="1:25" ht="48" customHeight="1">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28.032900000000001</v>
      </c>
      <c r="U34" s="97"/>
      <c r="V34" s="120"/>
      <c r="W34" s="117"/>
      <c r="X34" s="117">
        <f t="shared" si="2"/>
        <v>28.032900000000001</v>
      </c>
      <c r="Y34" s="135" t="s">
        <v>786</v>
      </c>
    </row>
    <row r="35" spans="1:25" ht="31.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97"/>
    </row>
    <row r="36" spans="1:25" ht="31.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7"/>
    </row>
    <row r="37" spans="1:25" ht="405" customHeight="1">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15.990600000000001</v>
      </c>
      <c r="U37" s="122"/>
      <c r="V37" s="122"/>
      <c r="W37" s="122"/>
      <c r="X37" s="117">
        <f t="shared" si="2"/>
        <v>15.990600000000001</v>
      </c>
      <c r="Y37" s="97" t="s">
        <v>1173</v>
      </c>
    </row>
    <row r="38" spans="1:25" ht="35.25" customHeight="1">
      <c r="A38" s="469"/>
      <c r="B38" s="469"/>
      <c r="C38" s="469"/>
      <c r="D38" s="106">
        <v>33</v>
      </c>
      <c r="E38" s="106" t="s">
        <v>64</v>
      </c>
      <c r="F38" s="116"/>
      <c r="G38" s="116"/>
      <c r="H38" s="116"/>
      <c r="I38" s="116"/>
      <c r="J38" s="116">
        <f t="shared" si="0"/>
        <v>0</v>
      </c>
      <c r="K38" s="116" t="s">
        <v>350</v>
      </c>
      <c r="L38" s="116"/>
      <c r="M38" s="116"/>
      <c r="N38" s="116"/>
      <c r="O38" s="116"/>
      <c r="P38" s="116">
        <f t="shared" si="1"/>
        <v>0</v>
      </c>
      <c r="Q38" s="116"/>
      <c r="R38" s="116"/>
      <c r="S38" s="116"/>
      <c r="T38" s="116"/>
      <c r="U38" s="116"/>
      <c r="V38" s="116"/>
      <c r="W38" s="117"/>
      <c r="X38" s="117">
        <f t="shared" si="2"/>
        <v>0</v>
      </c>
      <c r="Y38" s="97"/>
    </row>
    <row r="39" spans="1:25" ht="39.75"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7"/>
    </row>
    <row r="40" spans="1:25" ht="220.5">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f>1.44+2.3+0.15</f>
        <v>3.8899999999999997</v>
      </c>
      <c r="U40" s="151" t="s">
        <v>403</v>
      </c>
      <c r="V40" s="116"/>
      <c r="W40" s="117"/>
      <c r="X40" s="117">
        <f t="shared" si="2"/>
        <v>3.8899999999999997</v>
      </c>
      <c r="Y40" s="97" t="s">
        <v>404</v>
      </c>
    </row>
    <row r="41" spans="1:25" ht="31.5">
      <c r="A41" s="469"/>
      <c r="B41" s="469"/>
      <c r="C41" s="469"/>
      <c r="D41" s="106">
        <v>36</v>
      </c>
      <c r="E41" s="223" t="s">
        <v>70</v>
      </c>
      <c r="F41" s="116"/>
      <c r="G41" s="116"/>
      <c r="H41" s="116"/>
      <c r="I41" s="116"/>
      <c r="J41" s="116">
        <f t="shared" si="0"/>
        <v>0</v>
      </c>
      <c r="K41" s="116"/>
      <c r="L41" s="116"/>
      <c r="M41" s="116"/>
      <c r="N41" s="116"/>
      <c r="O41" s="117"/>
      <c r="P41" s="117">
        <f t="shared" si="1"/>
        <v>0</v>
      </c>
      <c r="Q41" s="116"/>
      <c r="R41" s="116"/>
      <c r="S41" s="116"/>
      <c r="T41" s="116"/>
      <c r="U41" s="120"/>
      <c r="V41" s="116"/>
      <c r="W41" s="117"/>
      <c r="X41" s="117">
        <f t="shared" si="2"/>
        <v>0</v>
      </c>
      <c r="Y41" s="97"/>
    </row>
    <row r="42" spans="1:25" ht="31.5">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7"/>
    </row>
    <row r="43" spans="1:25" ht="141.75">
      <c r="A43" s="469"/>
      <c r="B43" s="469"/>
      <c r="C43" s="469"/>
      <c r="D43" s="106">
        <v>38</v>
      </c>
      <c r="E43" s="139" t="s">
        <v>72</v>
      </c>
      <c r="F43" s="116"/>
      <c r="G43" s="116"/>
      <c r="H43" s="116"/>
      <c r="I43" s="116"/>
      <c r="J43" s="116">
        <f t="shared" si="0"/>
        <v>0</v>
      </c>
      <c r="K43" s="116"/>
      <c r="L43" s="116"/>
      <c r="M43" s="116"/>
      <c r="N43" s="116"/>
      <c r="O43" s="116"/>
      <c r="P43" s="116">
        <f t="shared" si="1"/>
        <v>0</v>
      </c>
      <c r="Q43" s="116"/>
      <c r="R43" s="116"/>
      <c r="S43" s="125"/>
      <c r="T43" s="125">
        <f>1.2+1.2</f>
        <v>2.4</v>
      </c>
      <c r="U43" s="120"/>
      <c r="V43" s="116"/>
      <c r="W43" s="117"/>
      <c r="X43" s="117">
        <f t="shared" si="2"/>
        <v>2.4</v>
      </c>
      <c r="Y43" s="97" t="s">
        <v>584</v>
      </c>
    </row>
    <row r="44" spans="1:25" ht="47.25">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20"/>
      <c r="V44" s="116"/>
      <c r="W44" s="117"/>
      <c r="X44" s="117">
        <f t="shared" si="2"/>
        <v>0</v>
      </c>
      <c r="Y44" s="97"/>
    </row>
    <row r="45" spans="1:25" ht="110.25">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(500*13*15)/100000</f>
        <v>0.97499999999999998</v>
      </c>
      <c r="U45" s="116"/>
      <c r="V45" s="116"/>
      <c r="W45" s="117"/>
      <c r="X45" s="117">
        <f t="shared" si="2"/>
        <v>0.97499999999999998</v>
      </c>
      <c r="Y45" s="97" t="s">
        <v>585</v>
      </c>
    </row>
    <row r="46" spans="1:25" ht="31.5" hidden="1">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7"/>
    </row>
    <row r="47" spans="1:25" ht="78.75">
      <c r="A47" s="469"/>
      <c r="B47" s="476" t="s">
        <v>76</v>
      </c>
      <c r="C47" s="476" t="s">
        <v>77</v>
      </c>
      <c r="D47" s="106">
        <v>42</v>
      </c>
      <c r="E47" s="106" t="s">
        <v>78</v>
      </c>
      <c r="F47" s="121">
        <v>4.2447499999999998</v>
      </c>
      <c r="G47" s="120"/>
      <c r="H47" s="120"/>
      <c r="I47" s="120"/>
      <c r="J47" s="116">
        <f t="shared" si="0"/>
        <v>0</v>
      </c>
      <c r="K47" s="122"/>
      <c r="L47" s="122"/>
      <c r="M47" s="120"/>
      <c r="N47" s="120"/>
      <c r="O47" s="120"/>
      <c r="P47" s="116">
        <f t="shared" si="1"/>
        <v>0</v>
      </c>
      <c r="Q47" s="120"/>
      <c r="R47" s="120"/>
      <c r="S47" s="121"/>
      <c r="T47" s="121"/>
      <c r="U47" s="120"/>
      <c r="V47" s="120"/>
      <c r="W47" s="117"/>
      <c r="X47" s="117">
        <f t="shared" si="2"/>
        <v>4.2447499999999998</v>
      </c>
      <c r="Y47" s="97" t="s">
        <v>951</v>
      </c>
    </row>
    <row r="48" spans="1:25" ht="50.25" customHeight="1">
      <c r="A48" s="469"/>
      <c r="B48" s="469"/>
      <c r="C48" s="469"/>
      <c r="D48" s="106">
        <v>43</v>
      </c>
      <c r="E48" s="106" t="s">
        <v>79</v>
      </c>
      <c r="F48" s="121">
        <v>0.39</v>
      </c>
      <c r="G48" s="120"/>
      <c r="H48" s="120"/>
      <c r="I48" s="120"/>
      <c r="J48" s="116">
        <f t="shared" si="0"/>
        <v>0</v>
      </c>
      <c r="K48" s="122"/>
      <c r="L48" s="122"/>
      <c r="M48" s="120"/>
      <c r="N48" s="120"/>
      <c r="O48" s="120"/>
      <c r="P48" s="116">
        <f t="shared" si="1"/>
        <v>0</v>
      </c>
      <c r="Q48" s="120"/>
      <c r="R48" s="120"/>
      <c r="S48" s="121"/>
      <c r="T48" s="121"/>
      <c r="U48" s="120"/>
      <c r="V48" s="120"/>
      <c r="W48" s="117"/>
      <c r="X48" s="117">
        <f t="shared" si="2"/>
        <v>0.39</v>
      </c>
      <c r="Y48" s="97" t="s">
        <v>952</v>
      </c>
    </row>
    <row r="49" spans="1:25" ht="63">
      <c r="A49" s="469"/>
      <c r="B49" s="469"/>
      <c r="C49" s="469"/>
      <c r="D49" s="106">
        <v>44</v>
      </c>
      <c r="E49" s="106" t="s">
        <v>80</v>
      </c>
      <c r="F49" s="121">
        <v>6.6000000000000003E-2</v>
      </c>
      <c r="G49" s="120"/>
      <c r="H49" s="120"/>
      <c r="I49" s="120"/>
      <c r="J49" s="116">
        <f t="shared" si="0"/>
        <v>0</v>
      </c>
      <c r="K49" s="122"/>
      <c r="L49" s="122"/>
      <c r="M49" s="120"/>
      <c r="N49" s="120"/>
      <c r="O49" s="120"/>
      <c r="P49" s="116">
        <f t="shared" si="1"/>
        <v>0</v>
      </c>
      <c r="Q49" s="120"/>
      <c r="R49" s="120"/>
      <c r="S49" s="121"/>
      <c r="T49" s="121"/>
      <c r="U49" s="120"/>
      <c r="V49" s="120"/>
      <c r="W49" s="117"/>
      <c r="X49" s="117">
        <f t="shared" si="2"/>
        <v>6.6000000000000003E-2</v>
      </c>
      <c r="Y49" s="97" t="s">
        <v>904</v>
      </c>
    </row>
    <row r="50" spans="1:25" ht="94.5">
      <c r="A50" s="469"/>
      <c r="B50" s="469"/>
      <c r="C50" s="469"/>
      <c r="D50" s="106"/>
      <c r="E50" s="106" t="s">
        <v>81</v>
      </c>
      <c r="F50" s="121">
        <v>0.34399999999999997</v>
      </c>
      <c r="G50" s="120"/>
      <c r="H50" s="120"/>
      <c r="I50" s="120"/>
      <c r="J50" s="116">
        <f t="shared" si="0"/>
        <v>0</v>
      </c>
      <c r="K50" s="120"/>
      <c r="L50" s="120"/>
      <c r="M50" s="120"/>
      <c r="N50" s="120"/>
      <c r="O50" s="120"/>
      <c r="P50" s="116">
        <f t="shared" si="1"/>
        <v>0</v>
      </c>
      <c r="Q50" s="120"/>
      <c r="R50" s="120"/>
      <c r="S50" s="120"/>
      <c r="T50" s="120"/>
      <c r="U50" s="120"/>
      <c r="V50" s="120"/>
      <c r="W50" s="117"/>
      <c r="X50" s="117">
        <f t="shared" si="2"/>
        <v>0.34399999999999997</v>
      </c>
      <c r="Y50" s="97" t="s">
        <v>905</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7"/>
    </row>
    <row r="52" spans="1:25" ht="31.5">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97"/>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97"/>
    </row>
    <row r="54" spans="1:25" ht="47.25">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97"/>
    </row>
    <row r="55" spans="1:25" ht="31.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97"/>
    </row>
    <row r="56" spans="1:25" ht="31.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7"/>
    </row>
    <row r="57" spans="1:25" ht="15.7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97"/>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245"/>
    </row>
    <row r="59" spans="1:25" ht="189">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1</v>
      </c>
      <c r="U59" s="115"/>
      <c r="V59" s="120"/>
      <c r="W59" s="117"/>
      <c r="X59" s="117">
        <f t="shared" si="2"/>
        <v>1</v>
      </c>
      <c r="Y59" s="97" t="s">
        <v>807</v>
      </c>
    </row>
    <row r="60" spans="1:25" ht="31.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7"/>
    </row>
    <row r="61" spans="1:25" ht="31.5">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0"/>
      <c r="T61" s="120"/>
      <c r="U61" s="120"/>
      <c r="V61" s="120"/>
      <c r="W61" s="117"/>
      <c r="X61" s="117">
        <f t="shared" si="2"/>
        <v>0</v>
      </c>
      <c r="Y61" s="97"/>
    </row>
    <row r="62" spans="1:25" ht="31.5">
      <c r="A62" s="469"/>
      <c r="B62" s="469"/>
      <c r="C62" s="469"/>
      <c r="D62" s="106">
        <v>57</v>
      </c>
      <c r="E62" s="106" t="s">
        <v>95</v>
      </c>
      <c r="F62" s="120"/>
      <c r="G62" s="120"/>
      <c r="H62" s="120"/>
      <c r="I62" s="121"/>
      <c r="J62" s="125">
        <f t="shared" si="0"/>
        <v>0</v>
      </c>
      <c r="K62" s="120"/>
      <c r="L62" s="120"/>
      <c r="M62" s="120"/>
      <c r="N62" s="120"/>
      <c r="O62" s="120"/>
      <c r="P62" s="116">
        <f t="shared" si="1"/>
        <v>0</v>
      </c>
      <c r="Q62" s="121"/>
      <c r="R62" s="121"/>
      <c r="S62" s="120"/>
      <c r="T62" s="120"/>
      <c r="U62" s="120"/>
      <c r="V62" s="120"/>
      <c r="W62" s="117"/>
      <c r="X62" s="117">
        <f t="shared" si="2"/>
        <v>0</v>
      </c>
      <c r="Y62" s="245"/>
    </row>
    <row r="63" spans="1:25" ht="31.5">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245"/>
    </row>
    <row r="64" spans="1:25" ht="15.7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7"/>
    </row>
    <row r="65" spans="1:25" ht="31.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7"/>
    </row>
    <row r="66" spans="1:25" ht="31.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7"/>
    </row>
    <row r="67" spans="1:25" ht="126">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135"/>
    </row>
    <row r="68" spans="1:25" ht="36" customHeight="1">
      <c r="A68" s="469"/>
      <c r="B68" s="478" t="s">
        <v>103</v>
      </c>
      <c r="C68" s="469"/>
      <c r="D68" s="469"/>
      <c r="E68" s="99"/>
      <c r="F68" s="102">
        <f t="shared" ref="F68:W68" si="3">SUM(F6:F67)</f>
        <v>53.818860000000008</v>
      </c>
      <c r="G68" s="102">
        <f t="shared" si="3"/>
        <v>0</v>
      </c>
      <c r="H68" s="102">
        <f t="shared" si="3"/>
        <v>0</v>
      </c>
      <c r="I68" s="102">
        <f t="shared" si="3"/>
        <v>0</v>
      </c>
      <c r="J68" s="102">
        <f t="shared" si="3"/>
        <v>0</v>
      </c>
      <c r="K68" s="102">
        <f t="shared" si="3"/>
        <v>0</v>
      </c>
      <c r="L68" s="102">
        <f t="shared" si="3"/>
        <v>12.795500000000001</v>
      </c>
      <c r="M68" s="102">
        <f t="shared" si="3"/>
        <v>0</v>
      </c>
      <c r="N68" s="102">
        <f t="shared" si="3"/>
        <v>0</v>
      </c>
      <c r="O68" s="102">
        <f t="shared" si="3"/>
        <v>74.597399999999993</v>
      </c>
      <c r="P68" s="102">
        <f t="shared" si="3"/>
        <v>74.597399999999993</v>
      </c>
      <c r="Q68" s="102">
        <f t="shared" si="3"/>
        <v>0</v>
      </c>
      <c r="R68" s="102">
        <f t="shared" si="3"/>
        <v>90.610399999999998</v>
      </c>
      <c r="S68" s="102">
        <f t="shared" si="3"/>
        <v>0</v>
      </c>
      <c r="T68" s="102">
        <f t="shared" si="3"/>
        <v>430.98940000000005</v>
      </c>
      <c r="U68" s="102">
        <f t="shared" si="3"/>
        <v>0</v>
      </c>
      <c r="V68" s="102">
        <f t="shared" si="3"/>
        <v>0</v>
      </c>
      <c r="W68" s="102">
        <f t="shared" si="3"/>
        <v>0</v>
      </c>
      <c r="X68" s="102">
        <f t="shared" si="2"/>
        <v>662.8115600000001</v>
      </c>
      <c r="Y68" s="135"/>
    </row>
    <row r="69" spans="1:25" s="17" customFormat="1" ht="81.75" customHeight="1">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1.5</v>
      </c>
      <c r="W69" s="117"/>
      <c r="X69" s="117">
        <f t="shared" si="2"/>
        <v>1.5</v>
      </c>
      <c r="Y69" s="135" t="s">
        <v>962</v>
      </c>
    </row>
    <row r="70" spans="1:25" ht="236.25">
      <c r="A70" s="469"/>
      <c r="B70" s="476" t="s">
        <v>108</v>
      </c>
      <c r="C70" s="476" t="s">
        <v>109</v>
      </c>
      <c r="D70" s="106">
        <v>64</v>
      </c>
      <c r="E70" s="106" t="s">
        <v>110</v>
      </c>
      <c r="F70" s="120"/>
      <c r="G70" s="120"/>
      <c r="H70" s="120"/>
      <c r="I70" s="121"/>
      <c r="J70" s="125">
        <f t="shared" si="4"/>
        <v>0</v>
      </c>
      <c r="K70" s="122"/>
      <c r="L70" s="122">
        <v>0</v>
      </c>
      <c r="M70" s="120">
        <v>0</v>
      </c>
      <c r="N70" s="120"/>
      <c r="O70" s="122">
        <v>0.26</v>
      </c>
      <c r="P70" s="117">
        <f t="shared" si="5"/>
        <v>0.26</v>
      </c>
      <c r="Q70" s="166"/>
      <c r="R70" s="120">
        <v>0</v>
      </c>
      <c r="S70" s="122"/>
      <c r="T70" s="122">
        <v>1</v>
      </c>
      <c r="U70" s="416"/>
      <c r="V70" s="121">
        <v>0.5</v>
      </c>
      <c r="W70" s="117"/>
      <c r="X70" s="117">
        <f t="shared" si="2"/>
        <v>1.76</v>
      </c>
      <c r="Y70" s="135" t="s">
        <v>1051</v>
      </c>
    </row>
    <row r="71" spans="1:25" ht="29.25" customHeight="1">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135" t="s">
        <v>1052</v>
      </c>
    </row>
    <row r="72" spans="1:25" ht="141.75">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18"/>
      <c r="V72" s="120"/>
      <c r="W72" s="117"/>
      <c r="X72" s="117">
        <f t="shared" si="2"/>
        <v>0.09</v>
      </c>
      <c r="Y72" s="135" t="s">
        <v>1053</v>
      </c>
    </row>
    <row r="73" spans="1:25" ht="236.25">
      <c r="A73" s="469"/>
      <c r="B73" s="469"/>
      <c r="C73" s="469"/>
      <c r="D73" s="106">
        <v>67</v>
      </c>
      <c r="E73" s="106" t="s">
        <v>113</v>
      </c>
      <c r="F73" s="120"/>
      <c r="G73" s="120"/>
      <c r="H73" s="120"/>
      <c r="I73" s="120"/>
      <c r="J73" s="116">
        <f t="shared" si="4"/>
        <v>0</v>
      </c>
      <c r="K73" s="120"/>
      <c r="L73" s="120"/>
      <c r="M73" s="120"/>
      <c r="N73" s="120"/>
      <c r="O73" s="122"/>
      <c r="P73" s="117">
        <f t="shared" si="5"/>
        <v>0</v>
      </c>
      <c r="Q73" s="120"/>
      <c r="R73" s="120"/>
      <c r="S73" s="121"/>
      <c r="T73" s="121">
        <v>32.78</v>
      </c>
      <c r="U73" s="124"/>
      <c r="V73" s="121">
        <v>1.5</v>
      </c>
      <c r="W73" s="119"/>
      <c r="X73" s="117">
        <f t="shared" si="2"/>
        <v>34.28</v>
      </c>
      <c r="Y73" s="135" t="s">
        <v>1072</v>
      </c>
    </row>
    <row r="74" spans="1:25" ht="110.25">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4.5199999999999996</v>
      </c>
      <c r="U74" s="121"/>
      <c r="V74" s="121">
        <v>1.4</v>
      </c>
      <c r="W74" s="122"/>
      <c r="X74" s="117">
        <f t="shared" si="2"/>
        <v>5.92</v>
      </c>
      <c r="Y74" s="135" t="s">
        <v>1055</v>
      </c>
    </row>
    <row r="75" spans="1:25" ht="409.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27"/>
      <c r="T75" s="162">
        <f>2.2+79.12+3.956+1.28+1.187+0.396+1.6+26</f>
        <v>115.739</v>
      </c>
      <c r="U75" s="118"/>
      <c r="V75" s="138"/>
      <c r="W75" s="117"/>
      <c r="X75" s="117">
        <f t="shared" si="2"/>
        <v>115.93900000000001</v>
      </c>
      <c r="Y75" s="224" t="s">
        <v>1049</v>
      </c>
    </row>
    <row r="76" spans="1:25" ht="220.5">
      <c r="A76" s="469"/>
      <c r="B76" s="469"/>
      <c r="C76" s="469"/>
      <c r="D76" s="106">
        <v>70</v>
      </c>
      <c r="E76" s="106" t="s">
        <v>118</v>
      </c>
      <c r="F76" s="140"/>
      <c r="G76" s="138"/>
      <c r="H76" s="138"/>
      <c r="I76" s="138"/>
      <c r="J76" s="116">
        <f t="shared" si="4"/>
        <v>0</v>
      </c>
      <c r="K76" s="142"/>
      <c r="L76" s="162">
        <v>0.14099999999999999</v>
      </c>
      <c r="M76" s="140" t="s">
        <v>405</v>
      </c>
      <c r="N76" s="138"/>
      <c r="O76" s="138"/>
      <c r="P76" s="116">
        <f t="shared" si="5"/>
        <v>0</v>
      </c>
      <c r="Q76" s="138"/>
      <c r="R76" s="138"/>
      <c r="S76" s="140"/>
      <c r="T76" s="162">
        <v>1.1000000000000001</v>
      </c>
      <c r="U76" s="118"/>
      <c r="V76" s="138"/>
      <c r="W76" s="117"/>
      <c r="X76" s="117">
        <f t="shared" si="2"/>
        <v>1.2410000000000001</v>
      </c>
      <c r="Y76" s="224" t="s">
        <v>926</v>
      </c>
    </row>
    <row r="77" spans="1:25" ht="15.75">
      <c r="A77" s="469"/>
      <c r="B77" s="469"/>
      <c r="C77" s="469"/>
      <c r="D77" s="106">
        <v>71</v>
      </c>
      <c r="E77" s="106" t="s">
        <v>119</v>
      </c>
      <c r="F77" s="138"/>
      <c r="G77" s="138"/>
      <c r="H77" s="138"/>
      <c r="I77" s="138"/>
      <c r="J77" s="116">
        <f t="shared" si="4"/>
        <v>0</v>
      </c>
      <c r="K77" s="138"/>
      <c r="L77" s="138"/>
      <c r="M77" s="138"/>
      <c r="N77" s="138"/>
      <c r="O77" s="138"/>
      <c r="P77" s="116">
        <f t="shared" si="5"/>
        <v>0</v>
      </c>
      <c r="Q77" s="138"/>
      <c r="R77" s="138"/>
      <c r="S77" s="138"/>
      <c r="T77" s="138"/>
      <c r="U77" s="138"/>
      <c r="V77" s="138"/>
      <c r="W77" s="117"/>
      <c r="X77" s="117">
        <f t="shared" si="2"/>
        <v>0</v>
      </c>
      <c r="Y77" s="135"/>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c r="W78" s="117"/>
      <c r="X78" s="117">
        <f t="shared" si="2"/>
        <v>0</v>
      </c>
      <c r="Y78" s="135"/>
    </row>
    <row r="79" spans="1:25" ht="409.5">
      <c r="A79" s="469"/>
      <c r="B79" s="476" t="s">
        <v>121</v>
      </c>
      <c r="C79" s="476" t="s">
        <v>122</v>
      </c>
      <c r="D79" s="106">
        <v>73</v>
      </c>
      <c r="E79" s="106" t="s">
        <v>123</v>
      </c>
      <c r="F79" s="147">
        <v>3.4</v>
      </c>
      <c r="G79" s="417"/>
      <c r="H79" s="147"/>
      <c r="I79" s="147">
        <v>0.4</v>
      </c>
      <c r="J79" s="148">
        <f t="shared" si="4"/>
        <v>0.4</v>
      </c>
      <c r="K79" s="417"/>
      <c r="L79" s="147">
        <v>1.8</v>
      </c>
      <c r="M79" s="417"/>
      <c r="N79" s="147"/>
      <c r="O79" s="147">
        <v>3.1</v>
      </c>
      <c r="P79" s="149">
        <f>O79</f>
        <v>3.1</v>
      </c>
      <c r="Q79" s="417"/>
      <c r="R79" s="147">
        <v>11</v>
      </c>
      <c r="S79" s="147"/>
      <c r="T79" s="147">
        <v>1.2</v>
      </c>
      <c r="U79" s="417"/>
      <c r="V79" s="147">
        <v>0.5</v>
      </c>
      <c r="W79" s="119"/>
      <c r="X79" s="117">
        <f t="shared" si="2"/>
        <v>21.4</v>
      </c>
      <c r="Y79" s="97" t="s">
        <v>1139</v>
      </c>
    </row>
    <row r="80" spans="1:25" ht="94.5">
      <c r="A80" s="469"/>
      <c r="B80" s="469"/>
      <c r="C80" s="469"/>
      <c r="D80" s="106">
        <v>74</v>
      </c>
      <c r="E80" s="106" t="s">
        <v>124</v>
      </c>
      <c r="F80" s="147">
        <v>72</v>
      </c>
      <c r="G80" s="417"/>
      <c r="H80" s="147"/>
      <c r="I80" s="150"/>
      <c r="J80" s="140"/>
      <c r="K80" s="150"/>
      <c r="L80" s="150">
        <v>0</v>
      </c>
      <c r="M80" s="150"/>
      <c r="N80" s="150"/>
      <c r="O80" s="150"/>
      <c r="P80" s="140"/>
      <c r="Q80" s="150"/>
      <c r="R80" s="150"/>
      <c r="S80" s="150"/>
      <c r="T80" s="150"/>
      <c r="U80" s="150"/>
      <c r="V80" s="150"/>
      <c r="W80" s="117"/>
      <c r="X80" s="117">
        <f t="shared" si="2"/>
        <v>72</v>
      </c>
      <c r="Y80" s="97" t="s">
        <v>1120</v>
      </c>
    </row>
    <row r="81" spans="1:25" ht="315">
      <c r="A81" s="469"/>
      <c r="B81" s="469"/>
      <c r="C81" s="469"/>
      <c r="D81" s="106">
        <v>75</v>
      </c>
      <c r="E81" s="106" t="s">
        <v>125</v>
      </c>
      <c r="F81" s="147">
        <v>2.2999999999999998</v>
      </c>
      <c r="G81" s="417"/>
      <c r="H81" s="147"/>
      <c r="I81" s="150"/>
      <c r="J81" s="140"/>
      <c r="K81" s="150"/>
      <c r="L81" s="150">
        <v>0</v>
      </c>
      <c r="M81" s="150"/>
      <c r="N81" s="150"/>
      <c r="O81" s="150"/>
      <c r="P81" s="140"/>
      <c r="Q81" s="150"/>
      <c r="R81" s="150"/>
      <c r="S81" s="147"/>
      <c r="T81" s="147">
        <v>2.6</v>
      </c>
      <c r="U81" s="118"/>
      <c r="V81" s="150"/>
      <c r="W81" s="117"/>
      <c r="X81" s="117">
        <f t="shared" si="2"/>
        <v>4.9000000000000004</v>
      </c>
      <c r="Y81" s="97" t="s">
        <v>1140</v>
      </c>
    </row>
    <row r="82" spans="1:25" ht="47.25" customHeight="1">
      <c r="A82" s="469"/>
      <c r="B82" s="469"/>
      <c r="C82" s="469"/>
      <c r="D82" s="106">
        <v>76</v>
      </c>
      <c r="E82" s="106" t="s">
        <v>126</v>
      </c>
      <c r="F82" s="150">
        <v>2.2999999999999998</v>
      </c>
      <c r="G82" s="150"/>
      <c r="H82" s="150"/>
      <c r="I82" s="150"/>
      <c r="J82" s="140"/>
      <c r="K82" s="150"/>
      <c r="L82" s="150">
        <v>0</v>
      </c>
      <c r="M82" s="150"/>
      <c r="N82" s="150"/>
      <c r="O82" s="147"/>
      <c r="P82" s="140"/>
      <c r="Q82" s="147"/>
      <c r="R82" s="147">
        <v>1.8</v>
      </c>
      <c r="S82" s="118"/>
      <c r="T82" s="150"/>
      <c r="U82" s="150"/>
      <c r="V82" s="150"/>
      <c r="W82" s="117"/>
      <c r="X82" s="117">
        <f t="shared" si="2"/>
        <v>4.0999999999999996</v>
      </c>
      <c r="Y82" s="97" t="s">
        <v>1141</v>
      </c>
    </row>
    <row r="83" spans="1:25" ht="15" customHeight="1">
      <c r="A83" s="469"/>
      <c r="B83" s="469"/>
      <c r="C83" s="469"/>
      <c r="D83" s="106">
        <v>77</v>
      </c>
      <c r="E83" s="106" t="s">
        <v>127</v>
      </c>
      <c r="F83" s="147">
        <v>0.5</v>
      </c>
      <c r="G83" s="417"/>
      <c r="H83" s="147"/>
      <c r="I83" s="147">
        <v>0.25</v>
      </c>
      <c r="J83" s="149">
        <f>I83</f>
        <v>0.25</v>
      </c>
      <c r="K83" s="417"/>
      <c r="L83" s="147">
        <v>4.5999999999999996</v>
      </c>
      <c r="M83" s="118"/>
      <c r="N83" s="150"/>
      <c r="O83" s="147">
        <v>1.2</v>
      </c>
      <c r="P83" s="149">
        <f>O83</f>
        <v>1.2</v>
      </c>
      <c r="Q83" s="417"/>
      <c r="R83" s="147"/>
      <c r="S83" s="150"/>
      <c r="T83" s="150"/>
      <c r="U83" s="147"/>
      <c r="V83" s="147"/>
      <c r="W83" s="119"/>
      <c r="X83" s="117">
        <f t="shared" si="2"/>
        <v>6.55</v>
      </c>
      <c r="Y83" s="97" t="s">
        <v>1142</v>
      </c>
    </row>
    <row r="84" spans="1:25" ht="31.5">
      <c r="A84" s="469"/>
      <c r="B84" s="469"/>
      <c r="C84" s="469"/>
      <c r="D84" s="106">
        <v>78</v>
      </c>
      <c r="E84" s="106" t="s">
        <v>128</v>
      </c>
      <c r="F84" s="150"/>
      <c r="G84" s="150"/>
      <c r="H84" s="150"/>
      <c r="I84" s="150"/>
      <c r="J84" s="116">
        <f t="shared" ref="J84:J92" si="6">H84+I84</f>
        <v>0</v>
      </c>
      <c r="K84" s="150"/>
      <c r="L84" s="150"/>
      <c r="M84" s="150"/>
      <c r="N84" s="150"/>
      <c r="O84" s="150"/>
      <c r="P84" s="116">
        <f t="shared" ref="P84:P92" si="7">N84+O84</f>
        <v>0</v>
      </c>
      <c r="Q84" s="150"/>
      <c r="R84" s="150"/>
      <c r="S84" s="150"/>
      <c r="T84" s="150"/>
      <c r="U84" s="150"/>
      <c r="V84" s="150"/>
      <c r="W84" s="117"/>
      <c r="X84" s="117">
        <f t="shared" si="2"/>
        <v>0</v>
      </c>
      <c r="Y84" s="97"/>
    </row>
    <row r="85" spans="1:25" ht="15" hidden="1" customHeight="1">
      <c r="A85" s="469"/>
      <c r="B85" s="469"/>
      <c r="C85" s="469"/>
      <c r="D85" s="106">
        <v>79</v>
      </c>
      <c r="E85" s="106" t="s">
        <v>44</v>
      </c>
      <c r="F85" s="151"/>
      <c r="G85" s="151"/>
      <c r="H85" s="151"/>
      <c r="I85" s="151"/>
      <c r="J85" s="116">
        <f t="shared" si="6"/>
        <v>0</v>
      </c>
      <c r="K85" s="151"/>
      <c r="L85" s="151"/>
      <c r="M85" s="151"/>
      <c r="N85" s="151"/>
      <c r="O85" s="151"/>
      <c r="P85" s="116">
        <f t="shared" si="7"/>
        <v>0</v>
      </c>
      <c r="Q85" s="151"/>
      <c r="R85" s="151"/>
      <c r="S85" s="151"/>
      <c r="T85" s="151"/>
      <c r="U85" s="151"/>
      <c r="V85" s="151"/>
      <c r="W85" s="117"/>
      <c r="X85" s="117">
        <f t="shared" si="2"/>
        <v>0</v>
      </c>
      <c r="Y85" s="97"/>
    </row>
    <row r="86" spans="1:25" ht="15.75">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7"/>
    </row>
    <row r="87" spans="1:25" ht="31.5">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c r="U87" s="120"/>
      <c r="V87" s="120"/>
      <c r="W87" s="117"/>
      <c r="X87" s="117">
        <f t="shared" si="2"/>
        <v>0</v>
      </c>
      <c r="Y87" s="97"/>
    </row>
    <row r="88" spans="1:25" ht="47.25">
      <c r="A88" s="469"/>
      <c r="B88" s="469"/>
      <c r="C88" s="469"/>
      <c r="D88" s="106">
        <v>82</v>
      </c>
      <c r="E88" s="223" t="s">
        <v>133</v>
      </c>
      <c r="F88" s="120"/>
      <c r="G88" s="120"/>
      <c r="H88" s="120"/>
      <c r="I88" s="120"/>
      <c r="J88" s="116">
        <f t="shared" si="6"/>
        <v>0</v>
      </c>
      <c r="K88" s="120"/>
      <c r="L88" s="120"/>
      <c r="M88" s="120"/>
      <c r="N88" s="120"/>
      <c r="O88" s="120"/>
      <c r="P88" s="116">
        <f t="shared" si="7"/>
        <v>0</v>
      </c>
      <c r="Q88" s="120"/>
      <c r="R88" s="120"/>
      <c r="S88" s="121"/>
      <c r="T88" s="121">
        <v>0.1</v>
      </c>
      <c r="U88" s="120"/>
      <c r="V88" s="120"/>
      <c r="W88" s="117"/>
      <c r="X88" s="117">
        <f t="shared" si="2"/>
        <v>0.1</v>
      </c>
      <c r="Y88" s="250" t="s">
        <v>957</v>
      </c>
    </row>
    <row r="89" spans="1:25" ht="31.5">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c r="U89" s="120"/>
      <c r="V89" s="120"/>
      <c r="W89" s="117"/>
      <c r="X89" s="117">
        <f t="shared" si="2"/>
        <v>0.5</v>
      </c>
      <c r="Y89" s="97" t="s">
        <v>956</v>
      </c>
    </row>
    <row r="90" spans="1:25" ht="78.75">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c r="W90" s="117"/>
      <c r="X90" s="117">
        <f t="shared" si="2"/>
        <v>0</v>
      </c>
      <c r="Y90" s="97"/>
    </row>
    <row r="91" spans="1:25" ht="110.2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7"/>
    </row>
    <row r="92" spans="1:25" ht="94.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7"/>
    </row>
    <row r="93" spans="1:25" ht="49.5" customHeight="1">
      <c r="A93" s="469"/>
      <c r="B93" s="476" t="s">
        <v>143</v>
      </c>
      <c r="C93" s="469"/>
      <c r="D93" s="469"/>
      <c r="E93" s="106"/>
      <c r="F93" s="102">
        <f t="shared" ref="F93:W93" si="8">SUM(F69:F92)</f>
        <v>80.5</v>
      </c>
      <c r="G93" s="102">
        <f t="shared" si="8"/>
        <v>0</v>
      </c>
      <c r="H93" s="102">
        <f t="shared" si="8"/>
        <v>0</v>
      </c>
      <c r="I93" s="102">
        <f t="shared" si="8"/>
        <v>0.65</v>
      </c>
      <c r="J93" s="102">
        <f t="shared" si="8"/>
        <v>0.65</v>
      </c>
      <c r="K93" s="102">
        <f t="shared" si="8"/>
        <v>0</v>
      </c>
      <c r="L93" s="102">
        <f t="shared" si="8"/>
        <v>6.5409999999999995</v>
      </c>
      <c r="M93" s="102">
        <f t="shared" si="8"/>
        <v>0</v>
      </c>
      <c r="N93" s="102">
        <f t="shared" si="8"/>
        <v>0</v>
      </c>
      <c r="O93" s="102">
        <f t="shared" si="8"/>
        <v>5.0600000000000005</v>
      </c>
      <c r="P93" s="102">
        <f t="shared" si="8"/>
        <v>5.0600000000000005</v>
      </c>
      <c r="Q93" s="102">
        <f t="shared" si="8"/>
        <v>0</v>
      </c>
      <c r="R93" s="102">
        <f t="shared" si="8"/>
        <v>13</v>
      </c>
      <c r="S93" s="102">
        <f t="shared" si="8"/>
        <v>0</v>
      </c>
      <c r="T93" s="102">
        <f t="shared" si="8"/>
        <v>159.37899999999999</v>
      </c>
      <c r="U93" s="102">
        <f t="shared" si="8"/>
        <v>0</v>
      </c>
      <c r="V93" s="102">
        <f t="shared" si="8"/>
        <v>5.4</v>
      </c>
      <c r="W93" s="102">
        <f t="shared" si="8"/>
        <v>0</v>
      </c>
      <c r="X93" s="102">
        <f t="shared" si="2"/>
        <v>270.52999999999997</v>
      </c>
      <c r="Y93" s="251"/>
    </row>
    <row r="94" spans="1:25" ht="126">
      <c r="A94" s="477" t="s">
        <v>144</v>
      </c>
      <c r="B94" s="476" t="s">
        <v>145</v>
      </c>
      <c r="C94" s="476" t="s">
        <v>146</v>
      </c>
      <c r="D94" s="106">
        <v>87</v>
      </c>
      <c r="E94" s="106" t="s">
        <v>147</v>
      </c>
      <c r="F94" s="155"/>
      <c r="G94" s="155"/>
      <c r="H94" s="155"/>
      <c r="I94" s="155"/>
      <c r="J94" s="116">
        <f t="shared" ref="J94:J133" si="9">H94+I94</f>
        <v>0</v>
      </c>
      <c r="K94" s="155"/>
      <c r="L94" s="155"/>
      <c r="M94" s="155"/>
      <c r="N94" s="155"/>
      <c r="O94" s="122">
        <v>24</v>
      </c>
      <c r="P94" s="117">
        <f t="shared" ref="P94:P133" si="10">N94+O94</f>
        <v>24</v>
      </c>
      <c r="Q94" s="120"/>
      <c r="R94" s="155"/>
      <c r="S94" s="155"/>
      <c r="T94" s="155"/>
      <c r="U94" s="155"/>
      <c r="V94" s="155"/>
      <c r="W94" s="117"/>
      <c r="X94" s="117">
        <f t="shared" si="2"/>
        <v>24</v>
      </c>
      <c r="Y94" s="225" t="s">
        <v>626</v>
      </c>
    </row>
    <row r="95" spans="1:25" ht="63">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f>3+8</f>
        <v>11</v>
      </c>
      <c r="U95" s="155"/>
      <c r="V95" s="155"/>
      <c r="W95" s="117"/>
      <c r="X95" s="117">
        <f t="shared" si="2"/>
        <v>11</v>
      </c>
      <c r="Y95" s="225" t="s">
        <v>1160</v>
      </c>
    </row>
    <row r="96" spans="1:25" ht="47.2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225"/>
    </row>
    <row r="97" spans="1:25" ht="47.25">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225"/>
    </row>
    <row r="98" spans="1:25" ht="31.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227"/>
    </row>
    <row r="99" spans="1:25" ht="47.2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c r="U99" s="155"/>
      <c r="V99" s="155"/>
      <c r="W99" s="117"/>
      <c r="X99" s="117">
        <f t="shared" si="2"/>
        <v>0</v>
      </c>
      <c r="Y99" s="231"/>
    </row>
    <row r="100" spans="1:25" ht="78.75">
      <c r="A100" s="469"/>
      <c r="B100" s="469"/>
      <c r="C100" s="469"/>
      <c r="D100" s="106">
        <v>93</v>
      </c>
      <c r="E100" s="106" t="s">
        <v>153</v>
      </c>
      <c r="F100" s="155"/>
      <c r="G100" s="155"/>
      <c r="H100" s="155"/>
      <c r="I100" s="155"/>
      <c r="J100" s="116">
        <f t="shared" si="9"/>
        <v>0</v>
      </c>
      <c r="K100" s="158"/>
      <c r="L100" s="158">
        <v>6.1</v>
      </c>
      <c r="M100" s="155"/>
      <c r="N100" s="155"/>
      <c r="O100" s="155"/>
      <c r="P100" s="116">
        <f t="shared" si="10"/>
        <v>0</v>
      </c>
      <c r="Q100" s="155"/>
      <c r="R100" s="155"/>
      <c r="S100" s="155"/>
      <c r="T100" s="155"/>
      <c r="U100" s="155"/>
      <c r="V100" s="155"/>
      <c r="W100" s="117"/>
      <c r="X100" s="117">
        <f t="shared" si="2"/>
        <v>6.1</v>
      </c>
      <c r="Y100" s="227" t="s">
        <v>604</v>
      </c>
    </row>
    <row r="101" spans="1:25" ht="78.75">
      <c r="A101" s="469"/>
      <c r="B101" s="469"/>
      <c r="C101" s="469"/>
      <c r="D101" s="106">
        <v>94</v>
      </c>
      <c r="E101" s="106" t="s">
        <v>154</v>
      </c>
      <c r="F101" s="155"/>
      <c r="G101" s="155"/>
      <c r="H101" s="155"/>
      <c r="I101" s="155"/>
      <c r="J101" s="116">
        <f t="shared" si="9"/>
        <v>0</v>
      </c>
      <c r="K101" s="158"/>
      <c r="L101" s="158">
        <v>6.1</v>
      </c>
      <c r="M101" s="155"/>
      <c r="N101" s="155"/>
      <c r="O101" s="155"/>
      <c r="P101" s="116">
        <f t="shared" si="10"/>
        <v>0</v>
      </c>
      <c r="Q101" s="155"/>
      <c r="R101" s="155"/>
      <c r="S101" s="155"/>
      <c r="T101" s="155"/>
      <c r="U101" s="155"/>
      <c r="V101" s="155"/>
      <c r="W101" s="117"/>
      <c r="X101" s="117">
        <f t="shared" si="2"/>
        <v>6.1</v>
      </c>
      <c r="Y101" s="231" t="s">
        <v>605</v>
      </c>
    </row>
    <row r="102" spans="1:25" ht="63">
      <c r="A102" s="469"/>
      <c r="B102" s="469"/>
      <c r="C102" s="469"/>
      <c r="D102" s="106">
        <v>95</v>
      </c>
      <c r="E102" s="106" t="s">
        <v>155</v>
      </c>
      <c r="F102" s="155"/>
      <c r="G102" s="155"/>
      <c r="H102" s="155"/>
      <c r="I102" s="158"/>
      <c r="J102" s="125">
        <f t="shared" si="9"/>
        <v>0</v>
      </c>
      <c r="K102" s="122"/>
      <c r="L102" s="122"/>
      <c r="M102" s="151"/>
      <c r="N102" s="155"/>
      <c r="O102" s="155"/>
      <c r="P102" s="116">
        <f t="shared" si="10"/>
        <v>0</v>
      </c>
      <c r="Q102" s="155"/>
      <c r="R102" s="155"/>
      <c r="S102" s="155"/>
      <c r="T102" s="155"/>
      <c r="U102" s="155"/>
      <c r="V102" s="155"/>
      <c r="W102" s="117"/>
      <c r="X102" s="117">
        <f t="shared" si="2"/>
        <v>0</v>
      </c>
      <c r="Y102" s="97"/>
    </row>
    <row r="103" spans="1:25" ht="63">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2">
        <v>1</v>
      </c>
      <c r="U103" s="120"/>
      <c r="V103" s="155"/>
      <c r="W103" s="117"/>
      <c r="X103" s="117">
        <f t="shared" si="2"/>
        <v>1</v>
      </c>
      <c r="Y103" s="97" t="s">
        <v>157</v>
      </c>
    </row>
    <row r="104" spans="1:25" ht="141.75">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11</v>
      </c>
      <c r="U104" s="118"/>
      <c r="V104" s="140"/>
      <c r="W104" s="117"/>
      <c r="X104" s="117">
        <f t="shared" si="2"/>
        <v>11</v>
      </c>
      <c r="Y104" s="135" t="s">
        <v>642</v>
      </c>
    </row>
    <row r="105" spans="1:25" ht="94.5">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15.7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110.25">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2.5</v>
      </c>
      <c r="U109" s="140"/>
      <c r="V109" s="140"/>
      <c r="W109" s="117"/>
      <c r="X109" s="117">
        <f t="shared" si="2"/>
        <v>2.5</v>
      </c>
      <c r="Y109" s="97" t="s">
        <v>660</v>
      </c>
    </row>
    <row r="110" spans="1:25" ht="31.5" hidden="1">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135"/>
    </row>
    <row r="112" spans="1:25" ht="204.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15.7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135"/>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31.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15.7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252"/>
    </row>
    <row r="121" spans="1:25" ht="173.25">
      <c r="A121" s="469"/>
      <c r="B121" s="106" t="s">
        <v>183</v>
      </c>
      <c r="C121" s="106" t="s">
        <v>184</v>
      </c>
      <c r="D121" s="106">
        <v>114</v>
      </c>
      <c r="E121" s="106" t="s">
        <v>185</v>
      </c>
      <c r="F121" s="140"/>
      <c r="G121" s="140"/>
      <c r="H121" s="140"/>
      <c r="I121" s="161">
        <v>10</v>
      </c>
      <c r="J121" s="125">
        <f t="shared" si="9"/>
        <v>10</v>
      </c>
      <c r="K121" s="140"/>
      <c r="L121" s="140">
        <v>0.9</v>
      </c>
      <c r="M121" s="140"/>
      <c r="N121" s="140"/>
      <c r="O121" s="140"/>
      <c r="P121" s="116">
        <f t="shared" si="10"/>
        <v>0</v>
      </c>
      <c r="Q121" s="140"/>
      <c r="R121" s="140"/>
      <c r="S121" s="140"/>
      <c r="T121" s="140">
        <v>3.5</v>
      </c>
      <c r="U121" s="161"/>
      <c r="V121" s="161"/>
      <c r="W121" s="117"/>
      <c r="X121" s="117">
        <f t="shared" si="2"/>
        <v>14.4</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135" t="s">
        <v>636</v>
      </c>
    </row>
    <row r="123" spans="1:25" ht="63">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10.55</v>
      </c>
      <c r="S123" s="140"/>
      <c r="T123" s="140"/>
      <c r="U123" s="140"/>
      <c r="V123" s="140"/>
      <c r="W123" s="117"/>
      <c r="X123" s="117">
        <f t="shared" si="2"/>
        <v>10.55</v>
      </c>
      <c r="Y123" s="135" t="s">
        <v>661</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7"/>
    </row>
    <row r="125" spans="1:25" ht="31.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7"/>
    </row>
    <row r="126" spans="1:25" ht="94.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61">
        <v>5</v>
      </c>
      <c r="U126" s="140"/>
      <c r="V126" s="140"/>
      <c r="W126" s="117"/>
      <c r="X126" s="117">
        <f t="shared" si="2"/>
        <v>5</v>
      </c>
      <c r="Y126" s="135" t="s">
        <v>638</v>
      </c>
    </row>
    <row r="127" spans="1:25" ht="126">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161"/>
      <c r="S127" s="161"/>
      <c r="T127" s="161"/>
      <c r="U127" s="140"/>
      <c r="V127" s="140"/>
      <c r="W127" s="117"/>
      <c r="X127" s="117">
        <f t="shared" si="2"/>
        <v>0</v>
      </c>
      <c r="Y127" s="97"/>
    </row>
    <row r="128" spans="1:25" ht="15.7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140"/>
      <c r="S128" s="140"/>
      <c r="T128" s="140"/>
      <c r="U128" s="140"/>
      <c r="V128" s="140"/>
      <c r="W128" s="117"/>
      <c r="X128" s="117">
        <f t="shared" si="2"/>
        <v>0</v>
      </c>
      <c r="Y128" s="135"/>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135"/>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98"/>
    </row>
    <row r="131" spans="1:25" ht="15.7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252"/>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252"/>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7"/>
    </row>
    <row r="134" spans="1:25" ht="26.25" customHeight="1">
      <c r="A134" s="469"/>
      <c r="B134" s="476" t="s">
        <v>208</v>
      </c>
      <c r="C134" s="469"/>
      <c r="D134" s="469"/>
      <c r="E134" s="106"/>
      <c r="F134" s="100">
        <f t="shared" ref="F134:W134" si="11">SUM(F94:F133)</f>
        <v>0</v>
      </c>
      <c r="G134" s="100">
        <f t="shared" si="11"/>
        <v>0</v>
      </c>
      <c r="H134" s="100">
        <f t="shared" si="11"/>
        <v>0</v>
      </c>
      <c r="I134" s="100">
        <f t="shared" si="11"/>
        <v>10</v>
      </c>
      <c r="J134" s="100">
        <f t="shared" si="11"/>
        <v>10</v>
      </c>
      <c r="K134" s="100">
        <f t="shared" si="11"/>
        <v>0</v>
      </c>
      <c r="L134" s="100">
        <f t="shared" si="11"/>
        <v>14.1</v>
      </c>
      <c r="M134" s="100">
        <f t="shared" si="11"/>
        <v>0</v>
      </c>
      <c r="N134" s="100">
        <f t="shared" si="11"/>
        <v>0</v>
      </c>
      <c r="O134" s="102">
        <f t="shared" si="11"/>
        <v>24</v>
      </c>
      <c r="P134" s="102">
        <f t="shared" si="11"/>
        <v>24</v>
      </c>
      <c r="Q134" s="100">
        <f t="shared" si="11"/>
        <v>0</v>
      </c>
      <c r="R134" s="100">
        <f t="shared" si="11"/>
        <v>10.55</v>
      </c>
      <c r="S134" s="100">
        <f t="shared" si="11"/>
        <v>0</v>
      </c>
      <c r="T134" s="100">
        <f t="shared" si="11"/>
        <v>37.86</v>
      </c>
      <c r="U134" s="100">
        <f t="shared" si="11"/>
        <v>0</v>
      </c>
      <c r="V134" s="100">
        <f t="shared" si="11"/>
        <v>0</v>
      </c>
      <c r="W134" s="102">
        <f t="shared" si="11"/>
        <v>0</v>
      </c>
      <c r="X134" s="100">
        <f t="shared" si="2"/>
        <v>96.51</v>
      </c>
      <c r="Y134" s="253"/>
    </row>
    <row r="135" spans="1:25" ht="63">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120"/>
      <c r="U135" s="120"/>
      <c r="V135" s="120"/>
      <c r="W135" s="117"/>
      <c r="X135" s="117">
        <f t="shared" si="2"/>
        <v>0</v>
      </c>
      <c r="Y135" s="97"/>
    </row>
    <row r="136" spans="1:25" ht="39" customHeight="1">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163"/>
      <c r="U136" s="120"/>
      <c r="V136" s="120"/>
      <c r="W136" s="117"/>
      <c r="X136" s="117">
        <f t="shared" si="2"/>
        <v>0</v>
      </c>
      <c r="Y136" s="135"/>
    </row>
    <row r="137" spans="1:25" ht="31.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120"/>
      <c r="U137" s="120"/>
      <c r="V137" s="120"/>
      <c r="W137" s="117"/>
      <c r="X137" s="117">
        <f t="shared" si="2"/>
        <v>0</v>
      </c>
      <c r="Y137" s="97"/>
    </row>
    <row r="138" spans="1:25" ht="47.25">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120"/>
      <c r="U138" s="120"/>
      <c r="V138" s="120"/>
      <c r="W138" s="117"/>
      <c r="X138" s="117">
        <f t="shared" si="2"/>
        <v>0</v>
      </c>
      <c r="Y138" s="97"/>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120"/>
      <c r="U140" s="120"/>
      <c r="V140" s="120"/>
      <c r="W140" s="117"/>
      <c r="X140" s="117">
        <f t="shared" si="2"/>
        <v>0</v>
      </c>
      <c r="Y140" s="97"/>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120"/>
      <c r="U141" s="120"/>
      <c r="V141" s="120"/>
      <c r="W141" s="117"/>
      <c r="X141" s="117">
        <f t="shared" si="2"/>
        <v>0</v>
      </c>
      <c r="Y141" s="97"/>
    </row>
    <row r="142" spans="1:25" ht="157.5">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(8*0.025*12)</f>
        <v>2.4000000000000004</v>
      </c>
      <c r="U142" s="120"/>
      <c r="V142" s="120"/>
      <c r="W142" s="117"/>
      <c r="X142" s="117">
        <f t="shared" si="2"/>
        <v>2.4000000000000004</v>
      </c>
      <c r="Y142" s="254" t="s">
        <v>668</v>
      </c>
    </row>
    <row r="143" spans="1:25" ht="31.5">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120"/>
      <c r="U143" s="120"/>
      <c r="V143" s="120"/>
      <c r="W143" s="117"/>
      <c r="X143" s="117">
        <f t="shared" si="2"/>
        <v>0</v>
      </c>
      <c r="Y143" s="97"/>
    </row>
    <row r="144" spans="1:25" ht="47.25">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122"/>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22"/>
      <c r="U145" s="120"/>
      <c r="V145" s="120"/>
      <c r="W145" s="117"/>
      <c r="X145" s="117">
        <f t="shared" si="2"/>
        <v>0</v>
      </c>
      <c r="Y145" s="135"/>
    </row>
    <row r="146" spans="1:25" ht="31.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120"/>
      <c r="U146" s="120"/>
      <c r="V146" s="120"/>
      <c r="W146" s="117"/>
      <c r="X146" s="117">
        <f t="shared" si="2"/>
        <v>0</v>
      </c>
      <c r="Y146" s="135"/>
    </row>
    <row r="147" spans="1:25" ht="78.75">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f>1*0.5</f>
        <v>0.5</v>
      </c>
      <c r="U147" s="120"/>
      <c r="V147" s="120"/>
      <c r="W147" s="117"/>
      <c r="X147" s="117">
        <f t="shared" si="2"/>
        <v>0.5</v>
      </c>
      <c r="Y147" s="135" t="s">
        <v>669</v>
      </c>
    </row>
    <row r="148" spans="1:25" ht="110.25">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22">
        <v>1.08</v>
      </c>
      <c r="U148" s="120"/>
      <c r="V148" s="120"/>
      <c r="W148" s="117"/>
      <c r="X148" s="117">
        <f t="shared" si="2"/>
        <v>1.08</v>
      </c>
      <c r="Y148" s="234" t="s">
        <v>670</v>
      </c>
    </row>
    <row r="149" spans="1:25" ht="15.75" hidden="1">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20"/>
      <c r="U149" s="120" t="s">
        <v>406</v>
      </c>
      <c r="V149" s="120"/>
      <c r="W149" s="117"/>
      <c r="X149" s="117">
        <f t="shared" si="2"/>
        <v>0</v>
      </c>
      <c r="Y149" s="97"/>
    </row>
    <row r="150" spans="1:25" ht="63">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150">
        <v>1045.04</v>
      </c>
      <c r="U150" s="120"/>
      <c r="V150" s="120"/>
      <c r="W150" s="117"/>
      <c r="X150" s="117">
        <f t="shared" si="2"/>
        <v>1045.04</v>
      </c>
      <c r="Y150" s="97" t="s">
        <v>671</v>
      </c>
    </row>
    <row r="151" spans="1:25" ht="47.25">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120"/>
      <c r="U151" s="120"/>
      <c r="V151" s="120"/>
      <c r="W151" s="117"/>
      <c r="X151" s="117">
        <f t="shared" si="2"/>
        <v>0</v>
      </c>
      <c r="Y151" s="97"/>
    </row>
    <row r="152" spans="1:25" ht="15.75">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120"/>
      <c r="U152" s="120"/>
      <c r="V152" s="120"/>
      <c r="W152" s="117"/>
      <c r="X152" s="117">
        <f t="shared" si="2"/>
        <v>0</v>
      </c>
      <c r="Y152" s="97"/>
    </row>
    <row r="153" spans="1:25" ht="47.25">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120"/>
      <c r="U153" s="120"/>
      <c r="V153" s="120"/>
      <c r="W153" s="117"/>
      <c r="X153" s="117">
        <f t="shared" si="2"/>
        <v>0</v>
      </c>
      <c r="Y153" s="97"/>
    </row>
    <row r="154" spans="1:25" ht="157.5">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120">
        <f>(0.4*12)+(12*0.1)</f>
        <v>6.0000000000000009</v>
      </c>
      <c r="U154" s="120"/>
      <c r="V154" s="120"/>
      <c r="W154" s="117"/>
      <c r="X154" s="117">
        <f t="shared" si="2"/>
        <v>6.0000000000000009</v>
      </c>
      <c r="Y154" s="256" t="s">
        <v>672</v>
      </c>
    </row>
    <row r="155" spans="1:25" ht="31.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120"/>
      <c r="U155" s="120"/>
      <c r="V155" s="120"/>
      <c r="W155" s="117"/>
      <c r="X155" s="117">
        <f t="shared" si="2"/>
        <v>0</v>
      </c>
      <c r="Y155" s="97"/>
    </row>
    <row r="156" spans="1:25" ht="63"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135"/>
    </row>
    <row r="157" spans="1:25" ht="110.25" customHeight="1">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122">
        <f>(120*0.03)</f>
        <v>3.5999999999999996</v>
      </c>
      <c r="U157" s="151"/>
      <c r="V157" s="151"/>
      <c r="W157" s="117"/>
      <c r="X157" s="117">
        <f t="shared" si="2"/>
        <v>3.5999999999999996</v>
      </c>
      <c r="Y157" s="135" t="s">
        <v>673</v>
      </c>
    </row>
    <row r="158" spans="1:25" ht="45" customHeight="1">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0">
        <f t="shared" si="14"/>
        <v>1058.6199999999999</v>
      </c>
      <c r="U158" s="100">
        <f t="shared" si="14"/>
        <v>0</v>
      </c>
      <c r="V158" s="100">
        <f t="shared" si="14"/>
        <v>0</v>
      </c>
      <c r="W158" s="102">
        <f t="shared" si="14"/>
        <v>0</v>
      </c>
      <c r="X158" s="100">
        <f t="shared" si="2"/>
        <v>1058.6199999999999</v>
      </c>
      <c r="Y158" s="253"/>
    </row>
    <row r="159" spans="1:25" ht="94.5">
      <c r="A159" s="477" t="s">
        <v>252</v>
      </c>
      <c r="B159" s="476" t="s">
        <v>253</v>
      </c>
      <c r="C159" s="476" t="s">
        <v>211</v>
      </c>
      <c r="D159" s="106">
        <v>150</v>
      </c>
      <c r="E159" s="106" t="s">
        <v>239</v>
      </c>
      <c r="F159" s="120"/>
      <c r="G159" s="121"/>
      <c r="H159" s="121">
        <v>140</v>
      </c>
      <c r="I159" s="121"/>
      <c r="J159" s="125">
        <f t="shared" ref="J159:J215" si="15">H159+I159</f>
        <v>140</v>
      </c>
      <c r="K159" s="120"/>
      <c r="L159" s="120"/>
      <c r="M159" s="120"/>
      <c r="N159" s="120"/>
      <c r="O159" s="120"/>
      <c r="P159" s="116">
        <f t="shared" ref="P159:P215" si="16">N159+O159</f>
        <v>0</v>
      </c>
      <c r="Q159" s="120"/>
      <c r="R159" s="120"/>
      <c r="S159" s="121"/>
      <c r="T159" s="121">
        <v>1</v>
      </c>
      <c r="U159" s="120"/>
      <c r="V159" s="120"/>
      <c r="W159" s="117"/>
      <c r="X159" s="117">
        <f t="shared" si="2"/>
        <v>141</v>
      </c>
      <c r="Y159" s="257" t="s">
        <v>1029</v>
      </c>
    </row>
    <row r="160" spans="1:25" ht="31.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20"/>
      <c r="S160" s="121"/>
      <c r="T160" s="121"/>
      <c r="U160" s="120"/>
      <c r="V160" s="120"/>
      <c r="W160" s="117"/>
      <c r="X160" s="117">
        <f t="shared" si="2"/>
        <v>0</v>
      </c>
      <c r="Y160" s="97"/>
    </row>
    <row r="161" spans="1:25" ht="87" customHeight="1">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20"/>
      <c r="S161" s="121"/>
      <c r="T161" s="98">
        <f>417 * 3600/100000</f>
        <v>15.012</v>
      </c>
      <c r="U161" s="120"/>
      <c r="V161" s="120"/>
      <c r="W161" s="117"/>
      <c r="X161" s="117">
        <f t="shared" si="2"/>
        <v>15.012</v>
      </c>
      <c r="Y161" s="135" t="s">
        <v>1030</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51"/>
      <c r="S162" s="151"/>
      <c r="T162" s="151"/>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22"/>
      <c r="S163" s="120"/>
      <c r="T163" s="120"/>
      <c r="U163" s="120"/>
      <c r="V163" s="120"/>
      <c r="W163" s="117"/>
      <c r="X163" s="117">
        <f t="shared" si="2"/>
        <v>0</v>
      </c>
      <c r="Y163" s="97"/>
    </row>
    <row r="164" spans="1:25" ht="31.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20"/>
      <c r="S164" s="121"/>
      <c r="T164" s="121"/>
      <c r="U164" s="120"/>
      <c r="V164" s="120"/>
      <c r="W164" s="117"/>
      <c r="X164" s="117">
        <f t="shared" si="2"/>
        <v>0</v>
      </c>
      <c r="Y164" s="97"/>
    </row>
    <row r="165" spans="1:25" ht="99.75" customHeight="1">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20"/>
      <c r="S165" s="121"/>
      <c r="T165" s="121">
        <v>1</v>
      </c>
      <c r="U165" s="166"/>
      <c r="V165" s="120"/>
      <c r="W165" s="117"/>
      <c r="X165" s="117">
        <f t="shared" si="2"/>
        <v>1</v>
      </c>
      <c r="Y165" s="97" t="s">
        <v>817</v>
      </c>
    </row>
    <row r="166" spans="1:25" ht="31.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20"/>
      <c r="S166" s="120"/>
      <c r="T166" s="120"/>
      <c r="U166" s="120"/>
      <c r="V166" s="120"/>
      <c r="W166" s="117"/>
      <c r="X166" s="117">
        <f t="shared" si="2"/>
        <v>0</v>
      </c>
      <c r="Y166" s="97"/>
    </row>
    <row r="167" spans="1:25" ht="31.5">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20"/>
      <c r="S167" s="120"/>
      <c r="T167" s="120"/>
      <c r="U167" s="120"/>
      <c r="V167" s="120"/>
      <c r="W167" s="117"/>
      <c r="X167" s="117">
        <f t="shared" si="2"/>
        <v>0</v>
      </c>
      <c r="Y167" s="97"/>
    </row>
    <row r="168" spans="1:25" ht="110.2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20"/>
      <c r="S168" s="121"/>
      <c r="T168" s="139">
        <v>47.783999999999999</v>
      </c>
      <c r="U168" s="120"/>
      <c r="V168" s="120"/>
      <c r="W168" s="117"/>
      <c r="X168" s="117">
        <f t="shared" si="2"/>
        <v>47.783999999999999</v>
      </c>
      <c r="Y168" s="97" t="s">
        <v>1005</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20"/>
      <c r="S169" s="120"/>
      <c r="T169" s="120"/>
      <c r="U169" s="120"/>
      <c r="V169" s="120"/>
      <c r="W169" s="117"/>
      <c r="X169" s="117">
        <f t="shared" si="2"/>
        <v>0</v>
      </c>
      <c r="Y169" s="245"/>
    </row>
    <row r="170" spans="1:25" ht="15.75">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20"/>
      <c r="S170" s="120"/>
      <c r="T170" s="120"/>
      <c r="U170" s="120"/>
      <c r="V170" s="120"/>
      <c r="W170" s="117"/>
      <c r="X170" s="117">
        <f t="shared" si="2"/>
        <v>0</v>
      </c>
      <c r="Y170" s="97"/>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20"/>
      <c r="S171" s="120"/>
      <c r="T171" s="120"/>
      <c r="U171" s="120"/>
      <c r="V171" s="120"/>
      <c r="W171" s="117"/>
      <c r="X171" s="117">
        <f t="shared" si="2"/>
        <v>0</v>
      </c>
      <c r="Y171" s="97"/>
    </row>
    <row r="172" spans="1:25" ht="47.25">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20"/>
      <c r="S172" s="121"/>
      <c r="T172" s="121"/>
      <c r="U172" s="120"/>
      <c r="V172" s="120"/>
      <c r="W172" s="117"/>
      <c r="X172" s="117">
        <f t="shared" si="2"/>
        <v>0</v>
      </c>
      <c r="Y172" s="135"/>
    </row>
    <row r="173" spans="1:25" ht="15.7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20"/>
      <c r="S173" s="120"/>
      <c r="T173" s="120"/>
      <c r="U173" s="120"/>
      <c r="V173" s="120"/>
      <c r="W173" s="117"/>
      <c r="X173" s="117">
        <f t="shared" si="2"/>
        <v>0</v>
      </c>
      <c r="Y173" s="97"/>
    </row>
    <row r="174" spans="1:25" ht="15.7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20"/>
      <c r="S174" s="120"/>
      <c r="T174" s="120"/>
      <c r="U174" s="120"/>
      <c r="V174" s="120"/>
      <c r="W174" s="117"/>
      <c r="X174" s="117">
        <f t="shared" si="2"/>
        <v>0</v>
      </c>
      <c r="Y174" s="97"/>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20"/>
      <c r="S175" s="120"/>
      <c r="T175" s="120"/>
      <c r="U175" s="120"/>
      <c r="V175" s="120"/>
      <c r="W175" s="117"/>
      <c r="X175" s="117">
        <f t="shared" si="2"/>
        <v>0</v>
      </c>
      <c r="Y175" s="97"/>
    </row>
    <row r="176" spans="1:25" ht="15.7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20"/>
      <c r="S176" s="120"/>
      <c r="T176" s="120"/>
      <c r="U176" s="120"/>
      <c r="V176" s="120"/>
      <c r="W176" s="117"/>
      <c r="X176" s="117">
        <f t="shared" si="2"/>
        <v>0</v>
      </c>
      <c r="Y176" s="97"/>
    </row>
    <row r="177" spans="1:25" ht="15.7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20"/>
      <c r="S177" s="120"/>
      <c r="T177" s="120"/>
      <c r="U177" s="120"/>
      <c r="V177" s="120"/>
      <c r="W177" s="117"/>
      <c r="X177" s="117">
        <f t="shared" si="2"/>
        <v>0</v>
      </c>
      <c r="Y177" s="97"/>
    </row>
    <row r="178" spans="1:25" ht="47.25">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20"/>
      <c r="S178" s="120"/>
      <c r="T178" s="120"/>
      <c r="U178" s="120"/>
      <c r="V178" s="120"/>
      <c r="W178" s="117"/>
      <c r="X178" s="117">
        <f t="shared" si="2"/>
        <v>0</v>
      </c>
      <c r="Y178" s="97"/>
    </row>
    <row r="179" spans="1:25" ht="63">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20"/>
      <c r="S179" s="120"/>
      <c r="T179" s="120"/>
      <c r="U179" s="120"/>
      <c r="V179" s="120"/>
      <c r="W179" s="117"/>
      <c r="X179" s="117">
        <f t="shared" si="2"/>
        <v>0</v>
      </c>
      <c r="Y179" s="97"/>
    </row>
    <row r="180" spans="1:25" ht="31.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20"/>
      <c r="S180" s="120"/>
      <c r="T180" s="120"/>
      <c r="U180" s="120"/>
      <c r="V180" s="120"/>
      <c r="W180" s="117"/>
      <c r="X180" s="117">
        <f t="shared" si="2"/>
        <v>0</v>
      </c>
      <c r="Y180" s="97"/>
    </row>
    <row r="181" spans="1:25" ht="31.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20"/>
      <c r="S181" s="122"/>
      <c r="T181" s="122"/>
      <c r="U181" s="120"/>
      <c r="V181" s="120"/>
      <c r="W181" s="117"/>
      <c r="X181" s="117">
        <f t="shared" si="2"/>
        <v>0</v>
      </c>
      <c r="Y181" s="97"/>
    </row>
    <row r="182" spans="1:25" ht="31.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20"/>
      <c r="S182" s="120"/>
      <c r="T182" s="120"/>
      <c r="U182" s="120"/>
      <c r="V182" s="120"/>
      <c r="W182" s="117"/>
      <c r="X182" s="117">
        <f t="shared" si="2"/>
        <v>0</v>
      </c>
      <c r="Y182" s="97"/>
    </row>
    <row r="183" spans="1:25" ht="15.7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20"/>
      <c r="S183" s="122"/>
      <c r="T183" s="122"/>
      <c r="U183" s="120"/>
      <c r="V183" s="120"/>
      <c r="W183" s="117"/>
      <c r="X183" s="117">
        <f t="shared" si="2"/>
        <v>0</v>
      </c>
      <c r="Y183" s="97"/>
    </row>
    <row r="184" spans="1:25" ht="315">
      <c r="A184" s="469"/>
      <c r="B184" s="476" t="s">
        <v>282</v>
      </c>
      <c r="C184" s="476" t="s">
        <v>230</v>
      </c>
      <c r="D184" s="106">
        <v>175</v>
      </c>
      <c r="E184" s="106" t="s">
        <v>231</v>
      </c>
      <c r="F184" s="167"/>
      <c r="G184" s="167"/>
      <c r="H184" s="167"/>
      <c r="I184" s="167"/>
      <c r="J184" s="116">
        <f t="shared" si="15"/>
        <v>0</v>
      </c>
      <c r="K184" s="168"/>
      <c r="L184" s="168"/>
      <c r="M184" s="120"/>
      <c r="N184" s="167"/>
      <c r="O184" s="167"/>
      <c r="P184" s="116">
        <f t="shared" si="16"/>
        <v>0</v>
      </c>
      <c r="Q184" s="167"/>
      <c r="R184" s="167"/>
      <c r="S184" s="168"/>
      <c r="T184" s="168">
        <v>60.26</v>
      </c>
      <c r="U184" s="121"/>
      <c r="V184" s="168"/>
      <c r="W184" s="117"/>
      <c r="X184" s="117">
        <f t="shared" si="2"/>
        <v>60.26</v>
      </c>
      <c r="Y184" s="97" t="s">
        <v>701</v>
      </c>
    </row>
    <row r="185" spans="1:25" ht="409.5">
      <c r="A185" s="469"/>
      <c r="B185" s="469"/>
      <c r="C185" s="469"/>
      <c r="D185" s="106">
        <v>176</v>
      </c>
      <c r="E185" s="106" t="s">
        <v>232</v>
      </c>
      <c r="F185" s="120"/>
      <c r="G185" s="120"/>
      <c r="H185" s="120"/>
      <c r="I185" s="120"/>
      <c r="J185" s="116">
        <f t="shared" si="15"/>
        <v>0</v>
      </c>
      <c r="K185" s="120"/>
      <c r="L185" s="120"/>
      <c r="M185" s="120"/>
      <c r="N185" s="120"/>
      <c r="O185" s="120"/>
      <c r="P185" s="116">
        <f t="shared" si="16"/>
        <v>0</v>
      </c>
      <c r="Q185" s="121"/>
      <c r="R185" s="121">
        <v>13</v>
      </c>
      <c r="S185" s="121"/>
      <c r="T185" s="121">
        <v>20.11</v>
      </c>
      <c r="U185" s="120"/>
      <c r="V185" s="120"/>
      <c r="W185" s="117"/>
      <c r="X185" s="117">
        <f t="shared" si="2"/>
        <v>33.11</v>
      </c>
      <c r="Y185" s="135" t="s">
        <v>702</v>
      </c>
    </row>
    <row r="186" spans="1:25" ht="29.25" hidden="1" customHeight="1">
      <c r="A186" s="469"/>
      <c r="B186" s="469"/>
      <c r="C186" s="469"/>
      <c r="D186" s="106">
        <v>177</v>
      </c>
      <c r="E186" s="106" t="s">
        <v>233</v>
      </c>
      <c r="F186" s="120"/>
      <c r="G186" s="120"/>
      <c r="H186" s="120"/>
      <c r="I186" s="120"/>
      <c r="J186" s="116">
        <f t="shared" si="15"/>
        <v>0</v>
      </c>
      <c r="K186" s="120"/>
      <c r="L186" s="120"/>
      <c r="M186" s="120"/>
      <c r="N186" s="120"/>
      <c r="O186" s="120"/>
      <c r="P186" s="116">
        <f t="shared" si="16"/>
        <v>0</v>
      </c>
      <c r="Q186" s="120"/>
      <c r="R186" s="120"/>
      <c r="S186" s="120"/>
      <c r="T186" s="120"/>
      <c r="U186" s="120"/>
      <c r="V186" s="120"/>
      <c r="W186" s="117"/>
      <c r="X186" s="117">
        <f t="shared" si="2"/>
        <v>0</v>
      </c>
      <c r="Y186" s="135"/>
    </row>
    <row r="187" spans="1:25" ht="47.25">
      <c r="A187" s="469"/>
      <c r="B187" s="476" t="s">
        <v>283</v>
      </c>
      <c r="C187" s="476" t="s">
        <v>284</v>
      </c>
      <c r="D187" s="106">
        <v>178</v>
      </c>
      <c r="E187" s="106" t="s">
        <v>285</v>
      </c>
      <c r="F187" s="120"/>
      <c r="G187" s="120"/>
      <c r="H187" s="120"/>
      <c r="I187" s="120"/>
      <c r="J187" s="116">
        <f t="shared" si="15"/>
        <v>0</v>
      </c>
      <c r="K187" s="120"/>
      <c r="L187" s="120"/>
      <c r="M187" s="120"/>
      <c r="N187" s="120"/>
      <c r="O187" s="120"/>
      <c r="P187" s="116">
        <f t="shared" si="16"/>
        <v>0</v>
      </c>
      <c r="Q187" s="120"/>
      <c r="R187" s="120"/>
      <c r="S187" s="120"/>
      <c r="T187" s="122"/>
      <c r="U187" s="120"/>
      <c r="V187" s="120"/>
      <c r="W187" s="117"/>
      <c r="X187" s="117">
        <f t="shared" si="2"/>
        <v>0</v>
      </c>
      <c r="Y187" s="97"/>
    </row>
    <row r="188" spans="1:25" ht="15.75">
      <c r="A188" s="469"/>
      <c r="B188" s="469"/>
      <c r="C188" s="469"/>
      <c r="D188" s="106">
        <v>179</v>
      </c>
      <c r="E188" s="106" t="s">
        <v>125</v>
      </c>
      <c r="F188" s="120"/>
      <c r="G188" s="120"/>
      <c r="H188" s="120"/>
      <c r="I188" s="120"/>
      <c r="J188" s="116">
        <f t="shared" si="15"/>
        <v>0</v>
      </c>
      <c r="K188" s="120"/>
      <c r="L188" s="120"/>
      <c r="M188" s="120"/>
      <c r="N188" s="120"/>
      <c r="O188" s="120"/>
      <c r="P188" s="116">
        <f t="shared" si="16"/>
        <v>0</v>
      </c>
      <c r="Q188" s="120"/>
      <c r="R188" s="120"/>
      <c r="S188" s="120"/>
      <c r="T188" s="120"/>
      <c r="U188" s="120"/>
      <c r="V188" s="120"/>
      <c r="W188" s="117"/>
      <c r="X188" s="117">
        <f t="shared" si="2"/>
        <v>0</v>
      </c>
      <c r="Y188" s="252"/>
    </row>
    <row r="189" spans="1:25" ht="31.5">
      <c r="A189" s="469"/>
      <c r="B189" s="469"/>
      <c r="C189" s="469"/>
      <c r="D189" s="106">
        <v>180</v>
      </c>
      <c r="E189" s="106" t="s">
        <v>286</v>
      </c>
      <c r="F189" s="120"/>
      <c r="G189" s="120"/>
      <c r="H189" s="120"/>
      <c r="I189" s="120"/>
      <c r="J189" s="116">
        <f t="shared" si="15"/>
        <v>0</v>
      </c>
      <c r="K189" s="120"/>
      <c r="L189" s="120"/>
      <c r="M189" s="120"/>
      <c r="N189" s="120"/>
      <c r="O189" s="122"/>
      <c r="P189" s="117">
        <f t="shared" si="16"/>
        <v>0</v>
      </c>
      <c r="Q189" s="120"/>
      <c r="R189" s="120"/>
      <c r="S189" s="121"/>
      <c r="T189" s="121"/>
      <c r="U189" s="120"/>
      <c r="V189" s="120"/>
      <c r="W189" s="117"/>
      <c r="X189" s="117">
        <f t="shared" si="2"/>
        <v>0</v>
      </c>
      <c r="Y189" s="252"/>
    </row>
    <row r="190" spans="1:25" ht="31.5">
      <c r="A190" s="469"/>
      <c r="B190" s="469"/>
      <c r="C190" s="469"/>
      <c r="D190" s="106">
        <v>181</v>
      </c>
      <c r="E190" s="106" t="s">
        <v>287</v>
      </c>
      <c r="F190" s="120"/>
      <c r="G190" s="120"/>
      <c r="H190" s="120"/>
      <c r="I190" s="120"/>
      <c r="J190" s="116">
        <f t="shared" si="15"/>
        <v>0</v>
      </c>
      <c r="K190" s="120"/>
      <c r="L190" s="120"/>
      <c r="M190" s="120"/>
      <c r="N190" s="120"/>
      <c r="O190" s="120"/>
      <c r="P190" s="116">
        <f t="shared" si="16"/>
        <v>0</v>
      </c>
      <c r="Q190" s="120"/>
      <c r="R190" s="120"/>
      <c r="S190" s="120"/>
      <c r="T190" s="120"/>
      <c r="U190" s="120"/>
      <c r="V190" s="120"/>
      <c r="W190" s="117"/>
      <c r="X190" s="117">
        <f t="shared" si="2"/>
        <v>0</v>
      </c>
      <c r="Y190" s="252"/>
    </row>
    <row r="191" spans="1:25" ht="126">
      <c r="A191" s="469"/>
      <c r="B191" s="469"/>
      <c r="C191" s="469"/>
      <c r="D191" s="106">
        <v>182</v>
      </c>
      <c r="E191" s="106" t="s">
        <v>288</v>
      </c>
      <c r="F191" s="120"/>
      <c r="G191" s="120"/>
      <c r="H191" s="120"/>
      <c r="I191" s="120"/>
      <c r="J191" s="116">
        <f t="shared" si="15"/>
        <v>0</v>
      </c>
      <c r="K191" s="120"/>
      <c r="L191" s="120"/>
      <c r="M191" s="120"/>
      <c r="N191" s="120"/>
      <c r="O191" s="120"/>
      <c r="P191" s="116">
        <f t="shared" si="16"/>
        <v>0</v>
      </c>
      <c r="Q191" s="120"/>
      <c r="R191" s="120"/>
      <c r="S191" s="122"/>
      <c r="T191" s="171">
        <f>(1*0.5*12)+(0.25*12)</f>
        <v>9</v>
      </c>
      <c r="U191" s="249"/>
      <c r="V191" s="120"/>
      <c r="W191" s="117"/>
      <c r="X191" s="117">
        <f t="shared" si="2"/>
        <v>9</v>
      </c>
      <c r="Y191" s="319" t="s">
        <v>666</v>
      </c>
    </row>
    <row r="192" spans="1:25" ht="63" hidden="1">
      <c r="A192" s="469"/>
      <c r="B192" s="469"/>
      <c r="C192" s="469"/>
      <c r="D192" s="106">
        <v>183</v>
      </c>
      <c r="E192" s="106" t="s">
        <v>289</v>
      </c>
      <c r="F192" s="120"/>
      <c r="G192" s="120"/>
      <c r="H192" s="120"/>
      <c r="I192" s="120"/>
      <c r="J192" s="116">
        <f t="shared" si="15"/>
        <v>0</v>
      </c>
      <c r="K192" s="120"/>
      <c r="L192" s="120"/>
      <c r="M192" s="120"/>
      <c r="N192" s="120"/>
      <c r="O192" s="120"/>
      <c r="P192" s="116">
        <f t="shared" si="16"/>
        <v>0</v>
      </c>
      <c r="Q192" s="120"/>
      <c r="R192" s="120"/>
      <c r="S192" s="121"/>
      <c r="T192" s="121"/>
      <c r="U192" s="120"/>
      <c r="V192" s="120"/>
      <c r="W192" s="117"/>
      <c r="X192" s="117">
        <f t="shared" si="2"/>
        <v>0</v>
      </c>
      <c r="Y192" s="252"/>
    </row>
    <row r="193" spans="1:25" ht="47.25">
      <c r="A193" s="469"/>
      <c r="B193" s="106" t="s">
        <v>290</v>
      </c>
      <c r="C193" s="106" t="s">
        <v>291</v>
      </c>
      <c r="D193" s="106">
        <v>184</v>
      </c>
      <c r="E193" s="106" t="s">
        <v>292</v>
      </c>
      <c r="F193" s="120"/>
      <c r="G193" s="120"/>
      <c r="H193" s="120"/>
      <c r="I193" s="120"/>
      <c r="J193" s="116">
        <f t="shared" si="15"/>
        <v>0</v>
      </c>
      <c r="K193" s="120"/>
      <c r="L193" s="120"/>
      <c r="M193" s="120"/>
      <c r="N193" s="120"/>
      <c r="O193" s="120"/>
      <c r="P193" s="116">
        <f t="shared" si="16"/>
        <v>0</v>
      </c>
      <c r="Q193" s="120"/>
      <c r="R193" s="120"/>
      <c r="S193" s="122"/>
      <c r="T193" s="122"/>
      <c r="U193" s="120"/>
      <c r="V193" s="120"/>
      <c r="W193" s="117"/>
      <c r="X193" s="117">
        <f t="shared" si="2"/>
        <v>0</v>
      </c>
      <c r="Y193" s="252"/>
    </row>
    <row r="194" spans="1:25" ht="49.5" customHeight="1">
      <c r="A194" s="469"/>
      <c r="B194" s="476" t="s">
        <v>293</v>
      </c>
      <c r="C194" s="476" t="s">
        <v>235</v>
      </c>
      <c r="D194" s="106">
        <v>185</v>
      </c>
      <c r="E194" s="106" t="s">
        <v>236</v>
      </c>
      <c r="F194" s="120"/>
      <c r="G194" s="120"/>
      <c r="H194" s="120"/>
      <c r="I194" s="120"/>
      <c r="J194" s="116">
        <f t="shared" si="15"/>
        <v>0</v>
      </c>
      <c r="K194" s="120"/>
      <c r="L194" s="120"/>
      <c r="M194" s="120"/>
      <c r="N194" s="120"/>
      <c r="O194" s="120"/>
      <c r="P194" s="116">
        <f t="shared" si="16"/>
        <v>0</v>
      </c>
      <c r="Q194" s="120"/>
      <c r="R194" s="120"/>
      <c r="S194" s="120"/>
      <c r="T194" s="120">
        <v>2847.0222999999987</v>
      </c>
      <c r="U194" s="120"/>
      <c r="V194" s="120"/>
      <c r="W194" s="117"/>
      <c r="X194" s="117">
        <f t="shared" si="2"/>
        <v>2847.0222999999987</v>
      </c>
      <c r="Y194" s="98" t="s">
        <v>992</v>
      </c>
    </row>
    <row r="195" spans="1:25" ht="409.5">
      <c r="A195" s="469"/>
      <c r="B195" s="469"/>
      <c r="C195" s="469"/>
      <c r="D195" s="106">
        <v>186</v>
      </c>
      <c r="E195" s="106" t="s">
        <v>237</v>
      </c>
      <c r="F195" s="120">
        <v>3.3000000000000002E-2</v>
      </c>
      <c r="G195" s="120"/>
      <c r="H195" s="120"/>
      <c r="I195" s="120"/>
      <c r="J195" s="116">
        <f t="shared" si="15"/>
        <v>0</v>
      </c>
      <c r="K195" s="120"/>
      <c r="L195" s="120"/>
      <c r="M195" s="120"/>
      <c r="N195" s="120"/>
      <c r="O195" s="120"/>
      <c r="P195" s="116">
        <f t="shared" si="16"/>
        <v>0</v>
      </c>
      <c r="Q195" s="120"/>
      <c r="R195" s="120"/>
      <c r="S195" s="121"/>
      <c r="T195" s="121">
        <f>5.6+11.894</f>
        <v>17.494</v>
      </c>
      <c r="U195" s="120" t="s">
        <v>350</v>
      </c>
      <c r="V195" s="120"/>
      <c r="W195" s="117"/>
      <c r="X195" s="117">
        <f t="shared" si="2"/>
        <v>17.527000000000001</v>
      </c>
      <c r="Y195" s="97" t="s">
        <v>976</v>
      </c>
    </row>
    <row r="196" spans="1:25" ht="31.5">
      <c r="A196" s="469"/>
      <c r="B196" s="469"/>
      <c r="C196" s="469"/>
      <c r="D196" s="106">
        <v>187</v>
      </c>
      <c r="E196" s="106" t="s">
        <v>294</v>
      </c>
      <c r="F196" s="120"/>
      <c r="G196" s="120"/>
      <c r="H196" s="120"/>
      <c r="I196" s="120"/>
      <c r="J196" s="116">
        <f t="shared" si="15"/>
        <v>0</v>
      </c>
      <c r="K196" s="120"/>
      <c r="L196" s="120"/>
      <c r="M196" s="120"/>
      <c r="N196" s="120"/>
      <c r="O196" s="120"/>
      <c r="P196" s="116">
        <f t="shared" si="16"/>
        <v>0</v>
      </c>
      <c r="Q196" s="120"/>
      <c r="R196" s="120"/>
      <c r="S196" s="120"/>
      <c r="T196" s="120">
        <v>1126.944</v>
      </c>
      <c r="U196" s="120"/>
      <c r="V196" s="120"/>
      <c r="W196" s="117"/>
      <c r="X196" s="117">
        <f t="shared" si="2"/>
        <v>1126.944</v>
      </c>
      <c r="Y196" s="98" t="s">
        <v>993</v>
      </c>
    </row>
    <row r="197" spans="1:25" ht="15.75">
      <c r="A197" s="469"/>
      <c r="B197" s="469"/>
      <c r="C197" s="469"/>
      <c r="D197" s="106">
        <v>188</v>
      </c>
      <c r="E197" s="106" t="s">
        <v>238</v>
      </c>
      <c r="F197" s="120"/>
      <c r="G197" s="120"/>
      <c r="H197" s="120"/>
      <c r="I197" s="120"/>
      <c r="J197" s="116">
        <f t="shared" si="15"/>
        <v>0</v>
      </c>
      <c r="K197" s="120"/>
      <c r="L197" s="120"/>
      <c r="M197" s="120"/>
      <c r="N197" s="120"/>
      <c r="O197" s="120"/>
      <c r="P197" s="116">
        <f t="shared" si="16"/>
        <v>0</v>
      </c>
      <c r="Q197" s="120"/>
      <c r="R197" s="120"/>
      <c r="S197" s="120"/>
      <c r="T197" s="120"/>
      <c r="U197" s="120"/>
      <c r="V197" s="120"/>
      <c r="W197" s="117"/>
      <c r="X197" s="117">
        <f t="shared" si="2"/>
        <v>0</v>
      </c>
      <c r="Y197" s="97"/>
    </row>
    <row r="198" spans="1:25" ht="47.25">
      <c r="A198" s="469"/>
      <c r="B198" s="469"/>
      <c r="C198" s="469"/>
      <c r="D198" s="106">
        <v>189</v>
      </c>
      <c r="E198" s="106" t="s">
        <v>295</v>
      </c>
      <c r="F198" s="120"/>
      <c r="G198" s="120"/>
      <c r="H198" s="120"/>
      <c r="I198" s="120"/>
      <c r="J198" s="116">
        <f t="shared" si="15"/>
        <v>0</v>
      </c>
      <c r="K198" s="120"/>
      <c r="L198" s="120"/>
      <c r="M198" s="120"/>
      <c r="N198" s="120"/>
      <c r="O198" s="120"/>
      <c r="P198" s="116">
        <f t="shared" si="16"/>
        <v>0</v>
      </c>
      <c r="Q198" s="120"/>
      <c r="R198" s="120"/>
      <c r="S198" s="120"/>
      <c r="T198" s="120"/>
      <c r="U198" s="120"/>
      <c r="V198" s="120"/>
      <c r="W198" s="117"/>
      <c r="X198" s="117">
        <f t="shared" si="2"/>
        <v>0</v>
      </c>
      <c r="Y198" s="97"/>
    </row>
    <row r="199" spans="1:25" ht="47.25" hidden="1">
      <c r="A199" s="469"/>
      <c r="B199" s="469"/>
      <c r="C199" s="469"/>
      <c r="D199" s="106">
        <v>190</v>
      </c>
      <c r="E199" s="106" t="s">
        <v>296</v>
      </c>
      <c r="F199" s="120"/>
      <c r="G199" s="120"/>
      <c r="H199" s="120"/>
      <c r="I199" s="120"/>
      <c r="J199" s="116">
        <f t="shared" si="15"/>
        <v>0</v>
      </c>
      <c r="K199" s="120"/>
      <c r="L199" s="120"/>
      <c r="M199" s="120"/>
      <c r="N199" s="120"/>
      <c r="O199" s="120"/>
      <c r="P199" s="116">
        <f t="shared" si="16"/>
        <v>0</v>
      </c>
      <c r="Q199" s="120"/>
      <c r="R199" s="120"/>
      <c r="S199" s="121"/>
      <c r="T199" s="121"/>
      <c r="U199" s="120"/>
      <c r="V199" s="120"/>
      <c r="W199" s="117"/>
      <c r="X199" s="117">
        <f t="shared" si="2"/>
        <v>0</v>
      </c>
      <c r="Y199" s="97"/>
    </row>
    <row r="200" spans="1:25" ht="31.5">
      <c r="A200" s="469"/>
      <c r="B200" s="476" t="s">
        <v>297</v>
      </c>
      <c r="C200" s="476" t="s">
        <v>298</v>
      </c>
      <c r="D200" s="106">
        <v>191</v>
      </c>
      <c r="E200" s="106" t="s">
        <v>299</v>
      </c>
      <c r="F200" s="120"/>
      <c r="G200" s="120"/>
      <c r="H200" s="120"/>
      <c r="I200" s="120"/>
      <c r="J200" s="116">
        <f t="shared" si="15"/>
        <v>0</v>
      </c>
      <c r="K200" s="120"/>
      <c r="L200" s="120"/>
      <c r="M200" s="120"/>
      <c r="N200" s="120"/>
      <c r="O200" s="120"/>
      <c r="P200" s="116">
        <f t="shared" si="16"/>
        <v>0</v>
      </c>
      <c r="Q200" s="120"/>
      <c r="R200" s="120"/>
      <c r="S200" s="120"/>
      <c r="T200" s="120">
        <v>6.65</v>
      </c>
      <c r="U200" s="120"/>
      <c r="V200" s="120"/>
      <c r="W200" s="117"/>
      <c r="X200" s="117">
        <f t="shared" si="2"/>
        <v>6.65</v>
      </c>
      <c r="Y200" s="135" t="s">
        <v>1196</v>
      </c>
    </row>
    <row r="201" spans="1:25" ht="31.5">
      <c r="A201" s="469"/>
      <c r="B201" s="469"/>
      <c r="C201" s="469"/>
      <c r="D201" s="106">
        <v>192</v>
      </c>
      <c r="E201" s="106" t="s">
        <v>300</v>
      </c>
      <c r="F201" s="120"/>
      <c r="G201" s="120"/>
      <c r="H201" s="120"/>
      <c r="I201" s="121"/>
      <c r="J201" s="125">
        <f t="shared" si="15"/>
        <v>0</v>
      </c>
      <c r="K201" s="120"/>
      <c r="L201" s="120"/>
      <c r="M201" s="120"/>
      <c r="N201" s="120"/>
      <c r="O201" s="120"/>
      <c r="P201" s="116">
        <f t="shared" si="16"/>
        <v>0</v>
      </c>
      <c r="Q201" s="120"/>
      <c r="R201" s="120"/>
      <c r="S201" s="122"/>
      <c r="T201" s="122"/>
      <c r="U201" s="120"/>
      <c r="V201" s="120"/>
      <c r="W201" s="117"/>
      <c r="X201" s="117">
        <f t="shared" si="2"/>
        <v>0</v>
      </c>
      <c r="Y201" s="135"/>
    </row>
    <row r="202" spans="1:25" ht="31.5">
      <c r="A202" s="469"/>
      <c r="B202" s="476" t="s">
        <v>301</v>
      </c>
      <c r="C202" s="476" t="s">
        <v>241</v>
      </c>
      <c r="D202" s="106">
        <v>193</v>
      </c>
      <c r="E202" s="106" t="s">
        <v>302</v>
      </c>
      <c r="F202" s="120"/>
      <c r="G202" s="120"/>
      <c r="H202" s="120"/>
      <c r="I202" s="120"/>
      <c r="J202" s="116">
        <f t="shared" si="15"/>
        <v>0</v>
      </c>
      <c r="K202" s="120"/>
      <c r="L202" s="120"/>
      <c r="M202" s="120"/>
      <c r="N202" s="120"/>
      <c r="O202" s="120"/>
      <c r="P202" s="116">
        <f t="shared" si="16"/>
        <v>0</v>
      </c>
      <c r="Q202" s="120"/>
      <c r="R202" s="120"/>
      <c r="S202" s="122"/>
      <c r="T202" s="122"/>
      <c r="U202" s="121"/>
      <c r="V202" s="121"/>
      <c r="W202" s="117"/>
      <c r="X202" s="117">
        <f t="shared" si="2"/>
        <v>0</v>
      </c>
      <c r="Y202" s="97"/>
    </row>
    <row r="203" spans="1:25" ht="31.5">
      <c r="A203" s="469"/>
      <c r="B203" s="469"/>
      <c r="C203" s="469"/>
      <c r="D203" s="106">
        <v>194</v>
      </c>
      <c r="E203" s="106" t="s">
        <v>242</v>
      </c>
      <c r="F203" s="120"/>
      <c r="G203" s="120"/>
      <c r="H203" s="120"/>
      <c r="I203" s="120"/>
      <c r="J203" s="116">
        <f t="shared" si="15"/>
        <v>0</v>
      </c>
      <c r="K203" s="120"/>
      <c r="L203" s="120"/>
      <c r="M203" s="120"/>
      <c r="N203" s="120"/>
      <c r="O203" s="120"/>
      <c r="P203" s="116">
        <f t="shared" si="16"/>
        <v>0</v>
      </c>
      <c r="Q203" s="120"/>
      <c r="R203" s="120"/>
      <c r="S203" s="120"/>
      <c r="T203" s="117">
        <v>87.73</v>
      </c>
      <c r="U203" s="120"/>
      <c r="V203" s="120"/>
      <c r="W203" s="117"/>
      <c r="X203" s="117">
        <f t="shared" si="2"/>
        <v>87.73</v>
      </c>
      <c r="Y203" s="98" t="s">
        <v>1221</v>
      </c>
    </row>
    <row r="204" spans="1:25" ht="47.25">
      <c r="A204" s="469"/>
      <c r="B204" s="476" t="s">
        <v>303</v>
      </c>
      <c r="C204" s="476" t="s">
        <v>304</v>
      </c>
      <c r="D204" s="106">
        <v>195</v>
      </c>
      <c r="E204" s="106" t="s">
        <v>305</v>
      </c>
      <c r="F204" s="120"/>
      <c r="G204" s="120"/>
      <c r="H204" s="120"/>
      <c r="I204" s="120"/>
      <c r="J204" s="116">
        <f t="shared" si="15"/>
        <v>0</v>
      </c>
      <c r="K204" s="120"/>
      <c r="L204" s="120"/>
      <c r="M204" s="120"/>
      <c r="N204" s="120"/>
      <c r="O204" s="120"/>
      <c r="P204" s="116">
        <f t="shared" si="16"/>
        <v>0</v>
      </c>
      <c r="Q204" s="120"/>
      <c r="R204" s="120"/>
      <c r="S204" s="122"/>
      <c r="T204" s="122"/>
      <c r="U204" s="120"/>
      <c r="V204" s="120"/>
      <c r="W204" s="117"/>
      <c r="X204" s="117">
        <f t="shared" si="2"/>
        <v>0</v>
      </c>
      <c r="Y204" s="97"/>
    </row>
    <row r="205" spans="1:25" ht="31.5">
      <c r="A205" s="469"/>
      <c r="B205" s="469"/>
      <c r="C205" s="469"/>
      <c r="D205" s="106">
        <v>196</v>
      </c>
      <c r="E205" s="106" t="s">
        <v>306</v>
      </c>
      <c r="F205" s="120"/>
      <c r="G205" s="120"/>
      <c r="H205" s="120"/>
      <c r="I205" s="120"/>
      <c r="J205" s="116">
        <f t="shared" si="15"/>
        <v>0</v>
      </c>
      <c r="K205" s="120"/>
      <c r="L205" s="120"/>
      <c r="M205" s="120"/>
      <c r="N205" s="120"/>
      <c r="O205" s="120"/>
      <c r="P205" s="116">
        <f t="shared" si="16"/>
        <v>0</v>
      </c>
      <c r="Q205" s="120"/>
      <c r="R205" s="120"/>
      <c r="S205" s="120"/>
      <c r="T205" s="120"/>
      <c r="U205" s="120"/>
      <c r="V205" s="120"/>
      <c r="W205" s="117"/>
      <c r="X205" s="117">
        <f t="shared" si="2"/>
        <v>0</v>
      </c>
      <c r="Y205" s="97"/>
    </row>
    <row r="206" spans="1:25" ht="15.75">
      <c r="A206" s="469"/>
      <c r="B206" s="469"/>
      <c r="C206" s="469"/>
      <c r="D206" s="106">
        <v>197</v>
      </c>
      <c r="E206" s="106" t="s">
        <v>307</v>
      </c>
      <c r="F206" s="135"/>
      <c r="G206" s="135"/>
      <c r="H206" s="135"/>
      <c r="I206" s="135"/>
      <c r="J206" s="116">
        <f t="shared" si="15"/>
        <v>0</v>
      </c>
      <c r="K206" s="135"/>
      <c r="L206" s="135"/>
      <c r="M206" s="135"/>
      <c r="N206" s="135"/>
      <c r="O206" s="135"/>
      <c r="P206" s="116">
        <f t="shared" si="16"/>
        <v>0</v>
      </c>
      <c r="Q206" s="135"/>
      <c r="R206" s="135"/>
      <c r="S206" s="170"/>
      <c r="T206" s="170"/>
      <c r="U206" s="129"/>
      <c r="V206" s="129"/>
      <c r="W206" s="171"/>
      <c r="X206" s="117">
        <f t="shared" si="2"/>
        <v>0</v>
      </c>
      <c r="Y206" s="97"/>
    </row>
    <row r="207" spans="1:25" ht="63">
      <c r="A207" s="469"/>
      <c r="B207" s="106" t="s">
        <v>308</v>
      </c>
      <c r="C207" s="106" t="s">
        <v>246</v>
      </c>
      <c r="D207" s="106">
        <v>198</v>
      </c>
      <c r="E207" s="106" t="s">
        <v>247</v>
      </c>
      <c r="F207" s="120"/>
      <c r="G207" s="120"/>
      <c r="H207" s="120"/>
      <c r="I207" s="120"/>
      <c r="J207" s="116">
        <f t="shared" si="15"/>
        <v>0</v>
      </c>
      <c r="K207" s="120"/>
      <c r="L207" s="120"/>
      <c r="M207" s="120"/>
      <c r="N207" s="120"/>
      <c r="O207" s="120"/>
      <c r="P207" s="116">
        <f t="shared" si="16"/>
        <v>0</v>
      </c>
      <c r="Q207" s="120"/>
      <c r="R207" s="120"/>
      <c r="S207" s="120"/>
      <c r="T207" s="120"/>
      <c r="U207" s="120"/>
      <c r="V207" s="120"/>
      <c r="W207" s="117"/>
      <c r="X207" s="117">
        <f t="shared" si="2"/>
        <v>0</v>
      </c>
      <c r="Y207" s="97"/>
    </row>
    <row r="208" spans="1:25" ht="47.25">
      <c r="A208" s="469"/>
      <c r="B208" s="106" t="s">
        <v>309</v>
      </c>
      <c r="C208" s="106" t="s">
        <v>249</v>
      </c>
      <c r="D208" s="106">
        <v>199</v>
      </c>
      <c r="E208" s="106" t="s">
        <v>250</v>
      </c>
      <c r="F208" s="151"/>
      <c r="G208" s="151"/>
      <c r="H208" s="151"/>
      <c r="I208" s="151"/>
      <c r="J208" s="116">
        <f t="shared" si="15"/>
        <v>0</v>
      </c>
      <c r="K208" s="151"/>
      <c r="L208" s="151"/>
      <c r="M208" s="151"/>
      <c r="N208" s="151"/>
      <c r="O208" s="151"/>
      <c r="P208" s="116">
        <f t="shared" si="16"/>
        <v>0</v>
      </c>
      <c r="Q208" s="151"/>
      <c r="R208" s="151"/>
      <c r="S208" s="151"/>
      <c r="T208" s="258">
        <v>97</v>
      </c>
      <c r="U208" s="151"/>
      <c r="V208" s="151"/>
      <c r="W208" s="117"/>
      <c r="X208" s="117">
        <f t="shared" si="2"/>
        <v>97</v>
      </c>
      <c r="Y208" s="98" t="s">
        <v>990</v>
      </c>
    </row>
    <row r="209" spans="1:25" ht="47.25">
      <c r="A209" s="469"/>
      <c r="B209" s="106" t="s">
        <v>310</v>
      </c>
      <c r="C209" s="172" t="s">
        <v>311</v>
      </c>
      <c r="D209" s="106">
        <v>200</v>
      </c>
      <c r="E209" s="106" t="s">
        <v>312</v>
      </c>
      <c r="F209" s="173"/>
      <c r="G209" s="173"/>
      <c r="H209" s="173"/>
      <c r="I209" s="173"/>
      <c r="J209" s="116">
        <f t="shared" si="15"/>
        <v>0</v>
      </c>
      <c r="K209" s="173"/>
      <c r="L209" s="173"/>
      <c r="M209" s="173"/>
      <c r="N209" s="173"/>
      <c r="O209" s="173"/>
      <c r="P209" s="116">
        <f t="shared" si="16"/>
        <v>0</v>
      </c>
      <c r="Q209" s="173"/>
      <c r="R209" s="173"/>
      <c r="S209" s="173"/>
      <c r="T209" s="173"/>
      <c r="U209" s="173"/>
      <c r="V209" s="173"/>
      <c r="W209" s="117"/>
      <c r="X209" s="117">
        <f t="shared" si="2"/>
        <v>0</v>
      </c>
      <c r="Y209" s="135"/>
    </row>
    <row r="210" spans="1:25" ht="63">
      <c r="A210" s="469"/>
      <c r="B210" s="174" t="s">
        <v>313</v>
      </c>
      <c r="C210" s="174" t="s">
        <v>314</v>
      </c>
      <c r="D210" s="175">
        <v>201</v>
      </c>
      <c r="E210" s="176" t="s">
        <v>315</v>
      </c>
      <c r="F210" s="173"/>
      <c r="G210" s="173"/>
      <c r="H210" s="173"/>
      <c r="I210" s="173"/>
      <c r="J210" s="116">
        <f t="shared" si="15"/>
        <v>0</v>
      </c>
      <c r="K210" s="173"/>
      <c r="L210" s="173"/>
      <c r="M210" s="173"/>
      <c r="N210" s="173"/>
      <c r="O210" s="173"/>
      <c r="P210" s="116">
        <f t="shared" si="16"/>
        <v>0</v>
      </c>
      <c r="Q210" s="173"/>
      <c r="R210" s="173"/>
      <c r="S210" s="173"/>
      <c r="T210" s="173">
        <v>42.334200000000003</v>
      </c>
      <c r="U210" s="173"/>
      <c r="V210" s="173"/>
      <c r="W210" s="117"/>
      <c r="X210" s="117">
        <f t="shared" si="2"/>
        <v>42.334200000000003</v>
      </c>
      <c r="Y210" s="173" t="s">
        <v>1162</v>
      </c>
    </row>
    <row r="211" spans="1:25" ht="47.25">
      <c r="A211" s="469"/>
      <c r="B211" s="174" t="s">
        <v>316</v>
      </c>
      <c r="C211" s="174" t="s">
        <v>317</v>
      </c>
      <c r="D211" s="175">
        <v>202</v>
      </c>
      <c r="E211" s="176" t="s">
        <v>318</v>
      </c>
      <c r="F211" s="173"/>
      <c r="G211" s="173"/>
      <c r="H211" s="173"/>
      <c r="I211" s="173"/>
      <c r="J211" s="116">
        <f t="shared" si="15"/>
        <v>0</v>
      </c>
      <c r="K211" s="173"/>
      <c r="L211" s="173"/>
      <c r="M211" s="173"/>
      <c r="N211" s="173"/>
      <c r="O211" s="173"/>
      <c r="P211" s="116">
        <f t="shared" si="16"/>
        <v>0</v>
      </c>
      <c r="Q211" s="173"/>
      <c r="R211" s="173"/>
      <c r="S211" s="173"/>
      <c r="T211" s="116">
        <v>1059.92454</v>
      </c>
      <c r="U211" s="173"/>
      <c r="V211" s="173"/>
      <c r="W211" s="117"/>
      <c r="X211" s="117">
        <f t="shared" si="2"/>
        <v>1059.92454</v>
      </c>
      <c r="Y211" s="97" t="s">
        <v>559</v>
      </c>
    </row>
    <row r="212" spans="1:25" ht="78.75">
      <c r="A212" s="469"/>
      <c r="B212" s="174" t="s">
        <v>319</v>
      </c>
      <c r="C212" s="174" t="s">
        <v>320</v>
      </c>
      <c r="D212" s="175">
        <v>203</v>
      </c>
      <c r="E212" s="176" t="s">
        <v>321</v>
      </c>
      <c r="F212" s="173"/>
      <c r="G212" s="173"/>
      <c r="H212" s="173"/>
      <c r="I212" s="173"/>
      <c r="J212" s="116">
        <f t="shared" si="15"/>
        <v>0</v>
      </c>
      <c r="K212" s="173"/>
      <c r="L212" s="173"/>
      <c r="M212" s="173"/>
      <c r="N212" s="173"/>
      <c r="O212" s="173"/>
      <c r="P212" s="116">
        <f t="shared" si="16"/>
        <v>0</v>
      </c>
      <c r="Q212" s="173"/>
      <c r="R212" s="173"/>
      <c r="S212" s="173"/>
      <c r="T212" s="173"/>
      <c r="U212" s="151"/>
      <c r="V212" s="173"/>
      <c r="W212" s="117"/>
      <c r="X212" s="117">
        <f t="shared" si="2"/>
        <v>0</v>
      </c>
      <c r="Y212" s="97"/>
    </row>
    <row r="213" spans="1:25" ht="47.25">
      <c r="A213" s="469"/>
      <c r="B213" s="174" t="s">
        <v>322</v>
      </c>
      <c r="C213" s="174" t="s">
        <v>323</v>
      </c>
      <c r="D213" s="175">
        <v>204</v>
      </c>
      <c r="E213" s="176" t="s">
        <v>324</v>
      </c>
      <c r="F213" s="173"/>
      <c r="G213" s="173"/>
      <c r="H213" s="173"/>
      <c r="I213" s="173"/>
      <c r="J213" s="116">
        <f t="shared" si="15"/>
        <v>0</v>
      </c>
      <c r="K213" s="173"/>
      <c r="L213" s="173"/>
      <c r="M213" s="173"/>
      <c r="N213" s="173"/>
      <c r="O213" s="173"/>
      <c r="P213" s="116">
        <f t="shared" si="16"/>
        <v>0</v>
      </c>
      <c r="Q213" s="173"/>
      <c r="R213" s="173"/>
      <c r="S213" s="173"/>
      <c r="T213" s="418">
        <v>21.4482</v>
      </c>
      <c r="U213" s="173"/>
      <c r="V213" s="173"/>
      <c r="W213" s="117"/>
      <c r="X213" s="418">
        <f t="shared" si="2"/>
        <v>21.4482</v>
      </c>
      <c r="Y213" s="97" t="s">
        <v>676</v>
      </c>
    </row>
    <row r="214" spans="1:25" ht="47.25">
      <c r="A214" s="469"/>
      <c r="B214" s="174" t="s">
        <v>326</v>
      </c>
      <c r="C214" s="174" t="s">
        <v>291</v>
      </c>
      <c r="D214" s="175">
        <v>205</v>
      </c>
      <c r="E214" s="176" t="s">
        <v>327</v>
      </c>
      <c r="F214" s="173"/>
      <c r="G214" s="173"/>
      <c r="H214" s="173"/>
      <c r="I214" s="173"/>
      <c r="J214" s="116">
        <f t="shared" si="15"/>
        <v>0</v>
      </c>
      <c r="K214" s="173"/>
      <c r="L214" s="173"/>
      <c r="M214" s="173"/>
      <c r="N214" s="173"/>
      <c r="O214" s="173"/>
      <c r="P214" s="116">
        <f t="shared" si="16"/>
        <v>0</v>
      </c>
      <c r="Q214" s="173"/>
      <c r="R214" s="173"/>
      <c r="S214" s="173"/>
      <c r="T214" s="173"/>
      <c r="U214" s="173"/>
      <c r="V214" s="173"/>
      <c r="W214" s="117"/>
      <c r="X214" s="117">
        <f t="shared" si="2"/>
        <v>0</v>
      </c>
      <c r="Y214" s="173"/>
    </row>
    <row r="215" spans="1:25" ht="31.5">
      <c r="A215" s="469"/>
      <c r="B215" s="174" t="s">
        <v>329</v>
      </c>
      <c r="C215" s="174" t="s">
        <v>246</v>
      </c>
      <c r="D215" s="175">
        <v>206</v>
      </c>
      <c r="E215" s="176" t="s">
        <v>330</v>
      </c>
      <c r="F215" s="173"/>
      <c r="G215" s="173"/>
      <c r="H215" s="173"/>
      <c r="I215" s="173"/>
      <c r="J215" s="116">
        <f t="shared" si="15"/>
        <v>0</v>
      </c>
      <c r="K215" s="173"/>
      <c r="L215" s="173"/>
      <c r="M215" s="173"/>
      <c r="N215" s="173"/>
      <c r="O215" s="173"/>
      <c r="P215" s="116">
        <f t="shared" si="16"/>
        <v>0</v>
      </c>
      <c r="Q215" s="173"/>
      <c r="R215" s="173"/>
      <c r="S215" s="173"/>
      <c r="T215" s="173"/>
      <c r="U215" s="173"/>
      <c r="V215" s="173"/>
      <c r="W215" s="117"/>
      <c r="X215" s="117">
        <f t="shared" si="2"/>
        <v>0</v>
      </c>
      <c r="Y215" s="173"/>
    </row>
    <row r="216" spans="1:25" s="382" customFormat="1" ht="27" customHeight="1">
      <c r="A216" s="469"/>
      <c r="B216" s="478" t="s">
        <v>331</v>
      </c>
      <c r="C216" s="479"/>
      <c r="D216" s="479"/>
      <c r="E216" s="99"/>
      <c r="F216" s="100">
        <f t="shared" ref="F216:W216" si="17">SUM(F159:F215)</f>
        <v>3.3000000000000002E-2</v>
      </c>
      <c r="G216" s="101">
        <f t="shared" si="17"/>
        <v>0</v>
      </c>
      <c r="H216" s="101">
        <f t="shared" si="17"/>
        <v>140</v>
      </c>
      <c r="I216" s="101">
        <f t="shared" si="17"/>
        <v>0</v>
      </c>
      <c r="J216" s="101">
        <f t="shared" si="17"/>
        <v>140</v>
      </c>
      <c r="K216" s="100">
        <f t="shared" si="17"/>
        <v>0</v>
      </c>
      <c r="L216" s="100">
        <f t="shared" si="17"/>
        <v>0</v>
      </c>
      <c r="M216" s="100">
        <f t="shared" si="17"/>
        <v>0</v>
      </c>
      <c r="N216" s="100">
        <f t="shared" si="17"/>
        <v>0</v>
      </c>
      <c r="O216" s="100">
        <f t="shared" si="17"/>
        <v>0</v>
      </c>
      <c r="P216" s="100">
        <f t="shared" si="17"/>
        <v>0</v>
      </c>
      <c r="Q216" s="100">
        <f t="shared" si="17"/>
        <v>0</v>
      </c>
      <c r="R216" s="100">
        <f t="shared" si="17"/>
        <v>13</v>
      </c>
      <c r="S216" s="101">
        <f t="shared" si="17"/>
        <v>0</v>
      </c>
      <c r="T216" s="101">
        <f t="shared" si="17"/>
        <v>5460.7132399999982</v>
      </c>
      <c r="U216" s="100">
        <f t="shared" si="17"/>
        <v>0</v>
      </c>
      <c r="V216" s="100">
        <f t="shared" si="17"/>
        <v>0</v>
      </c>
      <c r="W216" s="102">
        <f t="shared" si="17"/>
        <v>0</v>
      </c>
      <c r="X216" s="100">
        <f t="shared" si="2"/>
        <v>5613.7462399999986</v>
      </c>
      <c r="Y216" s="253"/>
    </row>
    <row r="217" spans="1:25" ht="32.25" customHeight="1">
      <c r="A217" s="480" t="s">
        <v>332</v>
      </c>
      <c r="B217" s="469"/>
      <c r="C217" s="469"/>
      <c r="D217" s="469"/>
      <c r="E217" s="103"/>
      <c r="F217" s="104">
        <f t="shared" ref="F217:W217" si="18">F216+F158+F134+F93+F68</f>
        <v>134.35186000000002</v>
      </c>
      <c r="G217" s="105">
        <f t="shared" si="18"/>
        <v>0</v>
      </c>
      <c r="H217" s="105">
        <f t="shared" si="18"/>
        <v>140</v>
      </c>
      <c r="I217" s="105">
        <f t="shared" si="18"/>
        <v>10.65</v>
      </c>
      <c r="J217" s="105">
        <f t="shared" si="18"/>
        <v>150.65</v>
      </c>
      <c r="K217" s="104">
        <f t="shared" si="18"/>
        <v>0</v>
      </c>
      <c r="L217" s="104">
        <f t="shared" si="18"/>
        <v>33.436499999999995</v>
      </c>
      <c r="M217" s="104">
        <f t="shared" si="18"/>
        <v>0</v>
      </c>
      <c r="N217" s="104">
        <f t="shared" si="18"/>
        <v>0</v>
      </c>
      <c r="O217" s="104">
        <f t="shared" si="18"/>
        <v>103.6574</v>
      </c>
      <c r="P217" s="104">
        <f t="shared" si="18"/>
        <v>103.6574</v>
      </c>
      <c r="Q217" s="104">
        <f t="shared" si="18"/>
        <v>0</v>
      </c>
      <c r="R217" s="104">
        <f t="shared" si="18"/>
        <v>127.1604</v>
      </c>
      <c r="S217" s="105">
        <f t="shared" si="18"/>
        <v>0</v>
      </c>
      <c r="T217" s="105">
        <f t="shared" si="18"/>
        <v>7147.5616399999981</v>
      </c>
      <c r="U217" s="104">
        <f t="shared" si="18"/>
        <v>0</v>
      </c>
      <c r="V217" s="104">
        <f t="shared" si="18"/>
        <v>5.4</v>
      </c>
      <c r="W217" s="104">
        <f t="shared" si="18"/>
        <v>0</v>
      </c>
      <c r="X217" s="104">
        <f t="shared" si="2"/>
        <v>7702.2177999999976</v>
      </c>
      <c r="Y217" s="266"/>
    </row>
    <row r="218" spans="1:25" ht="24.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5"/>
    </row>
    <row r="219" spans="1:25" ht="24.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5"/>
    </row>
    <row r="220" spans="1:25" ht="24.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5"/>
    </row>
    <row r="221" spans="1:25" ht="24.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5"/>
    </row>
    <row r="222" spans="1:25" ht="24.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5"/>
    </row>
    <row r="223" spans="1:25" ht="24.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5"/>
    </row>
    <row r="224" spans="1:25" ht="24.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5"/>
    </row>
    <row r="225" spans="1:25" ht="24.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5"/>
    </row>
    <row r="226" spans="1:25" ht="24.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5"/>
    </row>
    <row r="227" spans="1:25" ht="24.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5"/>
    </row>
    <row r="228" spans="1:25" ht="24.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5"/>
    </row>
    <row r="229" spans="1:25" ht="24.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5"/>
    </row>
    <row r="230" spans="1:25" ht="24.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5"/>
    </row>
    <row r="231" spans="1:25" ht="24.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5"/>
    </row>
    <row r="232" spans="1:25" ht="24.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5"/>
    </row>
    <row r="233" spans="1:25" ht="24.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5"/>
    </row>
    <row r="234" spans="1:25" ht="24.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5"/>
    </row>
    <row r="235" spans="1:25" ht="24.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5"/>
    </row>
    <row r="236" spans="1:25" ht="24.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5"/>
    </row>
    <row r="237" spans="1:25" ht="24.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5"/>
    </row>
    <row r="238" spans="1:25" ht="24.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5"/>
    </row>
    <row r="239" spans="1:25" ht="24.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5"/>
    </row>
    <row r="240" spans="1:25" ht="24.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5"/>
    </row>
    <row r="241" spans="1:25" ht="24.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5"/>
    </row>
    <row r="242" spans="1:25" ht="24.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5"/>
    </row>
    <row r="243" spans="1:25" ht="24.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5"/>
    </row>
    <row r="244" spans="1:25" ht="24.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5"/>
    </row>
    <row r="245" spans="1:25" ht="24.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5"/>
    </row>
    <row r="246" spans="1:25" ht="24.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5"/>
    </row>
    <row r="247" spans="1:25" ht="24.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5"/>
    </row>
    <row r="248" spans="1:25" ht="24.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5"/>
    </row>
    <row r="249" spans="1:25" ht="24.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5"/>
    </row>
    <row r="250" spans="1:25" ht="24.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5"/>
    </row>
    <row r="251" spans="1:25" ht="24.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5"/>
    </row>
    <row r="252" spans="1:25" ht="24.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5"/>
    </row>
    <row r="253" spans="1:25" ht="24.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5"/>
    </row>
    <row r="254" spans="1:25" ht="24.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5"/>
    </row>
    <row r="255" spans="1:25" ht="24.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5"/>
    </row>
    <row r="256" spans="1:25" ht="24.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5"/>
    </row>
    <row r="257" spans="1:25" ht="24.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5"/>
    </row>
    <row r="258" spans="1:25" ht="24.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5"/>
    </row>
    <row r="259" spans="1:25" ht="24.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5"/>
    </row>
    <row r="260" spans="1:25" ht="24.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5"/>
    </row>
    <row r="261" spans="1:25" ht="24.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5"/>
    </row>
    <row r="262" spans="1:25" ht="24.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5"/>
    </row>
    <row r="263" spans="1:25" ht="24.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5"/>
    </row>
    <row r="264" spans="1:25" ht="24.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5"/>
    </row>
    <row r="265" spans="1:25" ht="24.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5"/>
    </row>
    <row r="266" spans="1:25" ht="24.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5"/>
    </row>
    <row r="267" spans="1:25" ht="24.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5"/>
    </row>
    <row r="268" spans="1:25" ht="24.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5"/>
    </row>
    <row r="269" spans="1:25" ht="24.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5"/>
    </row>
    <row r="270" spans="1:25" ht="24.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5"/>
    </row>
    <row r="271" spans="1:25" ht="24.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5"/>
    </row>
    <row r="272" spans="1:25" ht="24.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5"/>
    </row>
    <row r="273" spans="1:25" ht="24.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5"/>
    </row>
    <row r="274" spans="1:25" ht="24.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5"/>
    </row>
    <row r="275" spans="1:25" ht="24.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5"/>
    </row>
    <row r="276" spans="1:25" ht="24.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5"/>
    </row>
    <row r="277" spans="1:25" ht="24.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5"/>
    </row>
    <row r="278" spans="1:25" ht="24.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5"/>
    </row>
    <row r="279" spans="1:25" ht="24.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5"/>
    </row>
    <row r="280" spans="1:25" ht="24.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5"/>
    </row>
    <row r="281" spans="1:25" ht="24.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5"/>
    </row>
    <row r="282" spans="1:25" ht="24.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5"/>
    </row>
    <row r="283" spans="1:25" ht="24.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5"/>
    </row>
    <row r="284" spans="1:25" ht="24.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5"/>
    </row>
    <row r="285" spans="1:25" ht="24.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5"/>
    </row>
    <row r="286" spans="1:25" ht="24.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5"/>
    </row>
    <row r="287" spans="1:25" ht="24.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5"/>
    </row>
    <row r="288" spans="1:25" ht="24.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5"/>
    </row>
    <row r="289" spans="1:25" ht="24.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5"/>
    </row>
    <row r="290" spans="1:25" ht="24.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5"/>
    </row>
    <row r="291" spans="1:25" ht="24.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5"/>
    </row>
    <row r="292" spans="1:25" ht="24.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5"/>
    </row>
    <row r="293" spans="1:25" ht="24.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5"/>
    </row>
    <row r="294" spans="1:25" ht="24.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5"/>
    </row>
    <row r="295" spans="1:25" ht="24.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5"/>
    </row>
    <row r="296" spans="1:25" ht="24.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5"/>
    </row>
    <row r="297" spans="1:25" ht="24.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5"/>
    </row>
    <row r="298" spans="1:25" ht="24.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5"/>
    </row>
    <row r="299" spans="1:25" ht="24.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5"/>
    </row>
    <row r="300" spans="1:25" ht="24.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5"/>
    </row>
    <row r="301" spans="1:25" ht="24.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5"/>
    </row>
    <row r="302" spans="1:25" ht="24.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5"/>
    </row>
    <row r="303" spans="1:25" ht="24.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5"/>
    </row>
    <row r="304" spans="1:25" ht="24.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5"/>
    </row>
    <row r="305" spans="1:25" ht="24.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5"/>
    </row>
    <row r="306" spans="1:25" ht="24.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5"/>
    </row>
    <row r="307" spans="1:25" ht="24.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5"/>
    </row>
    <row r="308" spans="1:25" ht="24.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5"/>
    </row>
    <row r="309" spans="1:25" ht="24.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5"/>
    </row>
    <row r="310" spans="1:25" ht="24.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5"/>
    </row>
    <row r="311" spans="1:25" ht="24.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5"/>
    </row>
    <row r="312" spans="1:25" ht="24.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5"/>
    </row>
    <row r="313" spans="1:25" ht="24.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5"/>
    </row>
    <row r="314" spans="1:25" ht="24.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5"/>
    </row>
    <row r="315" spans="1:25" ht="24.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5"/>
    </row>
    <row r="316" spans="1:25" ht="24.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5"/>
    </row>
    <row r="317" spans="1:25" ht="24.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5"/>
    </row>
    <row r="318" spans="1:25" ht="24.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5"/>
    </row>
    <row r="319" spans="1:25" ht="24.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5"/>
    </row>
    <row r="320" spans="1:25" ht="24.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5"/>
    </row>
    <row r="321" spans="1:25" ht="24.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5"/>
    </row>
    <row r="322" spans="1:25" ht="24.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5"/>
    </row>
    <row r="323" spans="1:25" ht="24.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5"/>
    </row>
    <row r="324" spans="1:25" ht="24.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5"/>
    </row>
    <row r="325" spans="1:25" ht="24.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5"/>
    </row>
    <row r="326" spans="1:25" ht="24.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5"/>
    </row>
    <row r="327" spans="1:25" ht="24.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5"/>
    </row>
    <row r="328" spans="1:25" ht="24.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5"/>
    </row>
    <row r="329" spans="1:25" ht="24.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5"/>
    </row>
    <row r="330" spans="1:25" ht="24.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5"/>
    </row>
    <row r="331" spans="1:25" ht="24.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5"/>
    </row>
    <row r="332" spans="1:25" ht="24.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5"/>
    </row>
    <row r="333" spans="1:25" ht="24.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5"/>
    </row>
    <row r="334" spans="1:25" ht="24.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5"/>
    </row>
    <row r="335" spans="1:25" ht="24.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5"/>
    </row>
    <row r="336" spans="1:25" ht="24.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5"/>
    </row>
    <row r="337" spans="1:25" ht="24.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5"/>
    </row>
    <row r="338" spans="1:25" ht="24.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5"/>
    </row>
    <row r="339" spans="1:25" ht="24.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5"/>
    </row>
    <row r="340" spans="1:25" ht="24.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5"/>
    </row>
    <row r="341" spans="1:25" ht="24.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5"/>
    </row>
    <row r="342" spans="1:25" ht="24.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5"/>
    </row>
    <row r="343" spans="1:25" ht="24.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5"/>
    </row>
    <row r="344" spans="1:25" ht="24.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5"/>
    </row>
    <row r="345" spans="1:25" ht="24.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5"/>
    </row>
    <row r="346" spans="1:25" ht="24.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5"/>
    </row>
    <row r="347" spans="1:25" ht="24.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5"/>
    </row>
    <row r="348" spans="1:25" ht="24.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5"/>
    </row>
    <row r="349" spans="1:25" ht="24.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5"/>
    </row>
    <row r="350" spans="1:25" ht="24.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5"/>
    </row>
    <row r="351" spans="1:25" ht="24.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5"/>
    </row>
    <row r="352" spans="1:25" ht="24.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5"/>
    </row>
    <row r="353" spans="1:25" ht="24.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5"/>
    </row>
    <row r="354" spans="1:25" ht="24.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5"/>
    </row>
    <row r="355" spans="1:25" ht="24.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5"/>
    </row>
    <row r="356" spans="1:25" ht="24.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5"/>
    </row>
    <row r="357" spans="1:25" ht="24.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5"/>
    </row>
    <row r="358" spans="1:25" ht="24.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5"/>
    </row>
    <row r="359" spans="1:25" ht="24.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5"/>
    </row>
    <row r="360" spans="1:25" ht="24.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5"/>
    </row>
    <row r="361" spans="1:25" ht="24.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5"/>
    </row>
    <row r="362" spans="1:25" ht="24.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5"/>
    </row>
    <row r="363" spans="1:25" ht="24.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5"/>
    </row>
    <row r="364" spans="1:25" ht="24.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5"/>
    </row>
    <row r="365" spans="1:25" ht="24.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5"/>
    </row>
    <row r="366" spans="1:25" ht="24.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5"/>
    </row>
    <row r="367" spans="1:25" ht="24.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5"/>
    </row>
    <row r="368" spans="1:25" ht="24.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5"/>
    </row>
    <row r="369" spans="1:25" ht="24.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5"/>
    </row>
    <row r="370" spans="1:25" ht="24.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5"/>
    </row>
    <row r="371" spans="1:25" ht="24.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5"/>
    </row>
    <row r="372" spans="1:25" ht="24.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5"/>
    </row>
    <row r="373" spans="1:25" ht="24.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5"/>
    </row>
    <row r="374" spans="1:25" ht="24.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5"/>
    </row>
    <row r="375" spans="1:25" ht="24.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5"/>
    </row>
    <row r="376" spans="1:25" ht="24.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5"/>
    </row>
    <row r="377" spans="1:25" ht="24.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5"/>
    </row>
    <row r="378" spans="1:25" ht="24.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5"/>
    </row>
    <row r="379" spans="1:25" ht="24.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5"/>
    </row>
    <row r="380" spans="1:25" ht="24.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5"/>
    </row>
    <row r="381" spans="1:25" ht="24.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5"/>
    </row>
    <row r="382" spans="1:25" ht="24.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5"/>
    </row>
    <row r="383" spans="1:25" ht="24.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5"/>
    </row>
    <row r="384" spans="1:25"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10"/>
    </row>
    <row r="385" spans="1:2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10"/>
    </row>
    <row r="386" spans="1:25"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10"/>
    </row>
    <row r="387" spans="1:25"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10"/>
    </row>
    <row r="388" spans="1:25"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10"/>
    </row>
    <row r="389" spans="1:25"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10"/>
    </row>
    <row r="390" spans="1:25"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10"/>
    </row>
    <row r="391" spans="1:25"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10"/>
    </row>
    <row r="392" spans="1:25"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10"/>
    </row>
    <row r="393" spans="1:25"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10"/>
    </row>
    <row r="394" spans="1:25"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10"/>
    </row>
    <row r="395" spans="1:2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10"/>
    </row>
    <row r="396" spans="1:25"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10"/>
    </row>
    <row r="397" spans="1:25"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10"/>
    </row>
    <row r="398" spans="1:25"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10"/>
    </row>
    <row r="399" spans="1:25"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10"/>
    </row>
    <row r="400" spans="1:25"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10"/>
    </row>
    <row r="401" spans="1:25"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10"/>
    </row>
    <row r="402" spans="1:25"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10"/>
    </row>
    <row r="403" spans="1:25"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10"/>
    </row>
    <row r="404" spans="1:25"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10"/>
    </row>
    <row r="405" spans="1:2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10"/>
    </row>
    <row r="406" spans="1:25"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10"/>
    </row>
    <row r="407" spans="1:25"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10"/>
    </row>
    <row r="408" spans="1:25"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10"/>
    </row>
    <row r="409" spans="1:25"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10"/>
    </row>
    <row r="410" spans="1:25"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10"/>
    </row>
    <row r="411" spans="1:25"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10"/>
    </row>
    <row r="412" spans="1:25"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10"/>
    </row>
    <row r="413" spans="1:25"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10"/>
    </row>
    <row r="414" spans="1:25"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10"/>
    </row>
    <row r="415" spans="1:2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10"/>
    </row>
    <row r="416" spans="1:25"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10"/>
    </row>
    <row r="417" spans="1:25"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10"/>
    </row>
    <row r="418" spans="1:25"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10"/>
    </row>
    <row r="419" spans="1:25"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10"/>
    </row>
    <row r="420" spans="1:25"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10"/>
    </row>
    <row r="421" spans="1:25"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10"/>
    </row>
    <row r="422" spans="1:25"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10"/>
    </row>
    <row r="423" spans="1:25"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10"/>
    </row>
    <row r="424" spans="1:25"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10"/>
    </row>
    <row r="425" spans="1: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10"/>
    </row>
    <row r="426" spans="1:25"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10"/>
    </row>
    <row r="427" spans="1:25"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10"/>
    </row>
    <row r="428" spans="1:25"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10"/>
    </row>
    <row r="429" spans="1:25"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10"/>
    </row>
    <row r="430" spans="1:25"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10"/>
    </row>
    <row r="431" spans="1:25"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10"/>
    </row>
    <row r="432" spans="1:25"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10"/>
    </row>
    <row r="433" spans="1:25"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10"/>
    </row>
    <row r="434" spans="1:25"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10"/>
    </row>
    <row r="435" spans="1:2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10"/>
    </row>
    <row r="436" spans="1:25"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10"/>
    </row>
    <row r="437" spans="1:25"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10"/>
    </row>
    <row r="438" spans="1:25"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10"/>
    </row>
    <row r="439" spans="1:25"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10"/>
    </row>
    <row r="440" spans="1:25"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10"/>
    </row>
    <row r="441" spans="1:25"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10"/>
    </row>
    <row r="442" spans="1:25"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10"/>
    </row>
    <row r="443" spans="1:25"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10"/>
    </row>
    <row r="444" spans="1:25"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10"/>
    </row>
    <row r="445" spans="1:2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10"/>
    </row>
    <row r="446" spans="1:25"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10"/>
    </row>
    <row r="447" spans="1:25"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10"/>
    </row>
    <row r="448" spans="1:25"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10"/>
    </row>
    <row r="449" spans="1:25"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10"/>
    </row>
    <row r="450" spans="1:25"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10"/>
    </row>
    <row r="451" spans="1:25"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10"/>
    </row>
    <row r="452" spans="1:25"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10"/>
    </row>
    <row r="453" spans="1:25"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10"/>
    </row>
    <row r="454" spans="1:25"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10"/>
    </row>
    <row r="455" spans="1:2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10"/>
    </row>
    <row r="456" spans="1:25"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10"/>
    </row>
    <row r="457" spans="1:25"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10"/>
    </row>
    <row r="458" spans="1:25"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10"/>
    </row>
    <row r="459" spans="1:25"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10"/>
    </row>
    <row r="460" spans="1:25"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10"/>
    </row>
    <row r="461" spans="1:25"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10"/>
    </row>
    <row r="462" spans="1:25"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10"/>
    </row>
    <row r="463" spans="1:25"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10"/>
    </row>
    <row r="464" spans="1:25"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10"/>
    </row>
    <row r="465" spans="1:2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10"/>
    </row>
    <row r="466" spans="1:25"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10"/>
    </row>
    <row r="467" spans="1:25"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10"/>
    </row>
    <row r="468" spans="1:25"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10"/>
    </row>
    <row r="469" spans="1:25"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10"/>
    </row>
    <row r="470" spans="1:25"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10"/>
    </row>
    <row r="471" spans="1:25"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10"/>
    </row>
    <row r="472" spans="1:25"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10"/>
    </row>
    <row r="473" spans="1:25"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10"/>
    </row>
    <row r="474" spans="1:25"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10"/>
    </row>
    <row r="475" spans="1:2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10"/>
    </row>
    <row r="476" spans="1:25"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10"/>
    </row>
    <row r="477" spans="1:25"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10"/>
    </row>
    <row r="478" spans="1:25"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10"/>
    </row>
    <row r="479" spans="1:25"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10"/>
    </row>
    <row r="480" spans="1:25"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10"/>
    </row>
    <row r="481" spans="1:25"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10"/>
    </row>
    <row r="482" spans="1:25"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10"/>
    </row>
    <row r="483" spans="1:25"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10"/>
    </row>
    <row r="484" spans="1:25"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10"/>
    </row>
    <row r="485" spans="1:2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10"/>
    </row>
    <row r="486" spans="1:25"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10"/>
    </row>
    <row r="487" spans="1:25"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10"/>
    </row>
    <row r="488" spans="1:25"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10"/>
    </row>
    <row r="489" spans="1:25"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10"/>
    </row>
    <row r="490" spans="1:25"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10"/>
    </row>
    <row r="491" spans="1:25"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10"/>
    </row>
    <row r="492" spans="1:25"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10"/>
    </row>
    <row r="493" spans="1:25"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10"/>
    </row>
    <row r="494" spans="1:25"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10"/>
    </row>
    <row r="495" spans="1:2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10"/>
    </row>
    <row r="496" spans="1:25"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10"/>
    </row>
    <row r="497" spans="1:25"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10"/>
    </row>
    <row r="498" spans="1:25"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10"/>
    </row>
    <row r="499" spans="1:25"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10"/>
    </row>
    <row r="500" spans="1:25"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10"/>
    </row>
    <row r="501" spans="1:25"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10"/>
    </row>
    <row r="502" spans="1:25"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10"/>
    </row>
    <row r="503" spans="1:25"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10"/>
    </row>
    <row r="504" spans="1:25"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10"/>
    </row>
    <row r="505" spans="1:2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10"/>
    </row>
    <row r="506" spans="1:25"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10"/>
    </row>
    <row r="507" spans="1:25"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10"/>
    </row>
    <row r="508" spans="1:25"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10"/>
    </row>
    <row r="509" spans="1:25"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10"/>
    </row>
    <row r="510" spans="1:25"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10"/>
    </row>
    <row r="511" spans="1:25"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10"/>
    </row>
    <row r="512" spans="1:25"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10"/>
    </row>
    <row r="513" spans="1:25"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10"/>
    </row>
    <row r="514" spans="1:25"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10"/>
    </row>
    <row r="515" spans="1:2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10"/>
    </row>
    <row r="516" spans="1:25"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10"/>
    </row>
    <row r="517" spans="1:25"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10"/>
    </row>
    <row r="518" spans="1:25"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10"/>
    </row>
    <row r="519" spans="1:25"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10"/>
    </row>
    <row r="520" spans="1:25"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10"/>
    </row>
    <row r="521" spans="1:25"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10"/>
    </row>
    <row r="522" spans="1:25"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10"/>
    </row>
    <row r="523" spans="1:25"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10"/>
    </row>
    <row r="524" spans="1:25"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10"/>
    </row>
    <row r="525" spans="1: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10"/>
    </row>
    <row r="526" spans="1:25"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10"/>
    </row>
    <row r="527" spans="1:25"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10"/>
    </row>
    <row r="528" spans="1:25"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10"/>
    </row>
    <row r="529" spans="1:25"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10"/>
    </row>
    <row r="530" spans="1:25"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10"/>
    </row>
    <row r="531" spans="1:25"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10"/>
    </row>
    <row r="532" spans="1:25"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10"/>
    </row>
    <row r="533" spans="1:25"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10"/>
    </row>
    <row r="534" spans="1:25"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10"/>
    </row>
    <row r="535" spans="1:2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10"/>
    </row>
    <row r="536" spans="1:25"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10"/>
    </row>
    <row r="537" spans="1:25"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10"/>
    </row>
    <row r="538" spans="1:25"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10"/>
    </row>
    <row r="539" spans="1:25"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10"/>
    </row>
    <row r="540" spans="1:25"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10"/>
    </row>
    <row r="541" spans="1:25"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10"/>
    </row>
    <row r="542" spans="1:25"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10"/>
    </row>
    <row r="543" spans="1:25"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10"/>
    </row>
    <row r="544" spans="1:25"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10"/>
    </row>
    <row r="545" spans="1:2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10"/>
    </row>
    <row r="546" spans="1:25"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10"/>
    </row>
    <row r="547" spans="1:25"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10"/>
    </row>
    <row r="548" spans="1:25"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10"/>
    </row>
    <row r="549" spans="1:25"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10"/>
    </row>
    <row r="550" spans="1:25"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10"/>
    </row>
    <row r="551" spans="1:25"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10"/>
    </row>
    <row r="552" spans="1:25"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10"/>
    </row>
    <row r="553" spans="1:25"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10"/>
    </row>
    <row r="554" spans="1:25"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10"/>
    </row>
    <row r="555" spans="1:2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10"/>
    </row>
    <row r="556" spans="1:25"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10"/>
    </row>
    <row r="557" spans="1:25"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10"/>
    </row>
    <row r="558" spans="1:25"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10"/>
    </row>
    <row r="559" spans="1:25"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10"/>
    </row>
    <row r="560" spans="1:25"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10"/>
    </row>
    <row r="561" spans="1:25"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10"/>
    </row>
    <row r="562" spans="1:25"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10"/>
    </row>
    <row r="563" spans="1:25"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10"/>
    </row>
    <row r="564" spans="1:25"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10"/>
    </row>
    <row r="565" spans="1:2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10"/>
    </row>
    <row r="566" spans="1:25"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10"/>
    </row>
    <row r="567" spans="1:25"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10"/>
    </row>
    <row r="568" spans="1:25"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10"/>
    </row>
    <row r="569" spans="1:25"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10"/>
    </row>
    <row r="570" spans="1:25"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10"/>
    </row>
    <row r="571" spans="1:25"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10"/>
    </row>
    <row r="572" spans="1:25"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10"/>
    </row>
    <row r="573" spans="1:25"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10"/>
    </row>
    <row r="574" spans="1:25"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10"/>
    </row>
    <row r="575" spans="1:2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10"/>
    </row>
    <row r="576" spans="1:25"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10"/>
    </row>
    <row r="577" spans="1:25"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10"/>
    </row>
    <row r="578" spans="1:25"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10"/>
    </row>
    <row r="579" spans="1:25"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10"/>
    </row>
    <row r="580" spans="1:25"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10"/>
    </row>
    <row r="581" spans="1:25"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10"/>
    </row>
    <row r="582" spans="1:25"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10"/>
    </row>
    <row r="583" spans="1:25"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10"/>
    </row>
    <row r="584" spans="1:25"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10"/>
    </row>
    <row r="585" spans="1:2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10"/>
    </row>
    <row r="586" spans="1:25"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10"/>
    </row>
    <row r="587" spans="1:25"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10"/>
    </row>
    <row r="588" spans="1:25"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10"/>
    </row>
    <row r="589" spans="1:25"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10"/>
    </row>
    <row r="590" spans="1:25"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10"/>
    </row>
    <row r="591" spans="1:25"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10"/>
    </row>
    <row r="592" spans="1:25"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10"/>
    </row>
    <row r="593" spans="1:25"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10"/>
    </row>
    <row r="594" spans="1:25"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10"/>
    </row>
    <row r="595" spans="1:2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10"/>
    </row>
    <row r="596" spans="1:25"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10"/>
    </row>
    <row r="597" spans="1:25"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10"/>
    </row>
    <row r="598" spans="1:25"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10"/>
    </row>
    <row r="599" spans="1:25"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10"/>
    </row>
    <row r="600" spans="1:25"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10"/>
    </row>
    <row r="601" spans="1:25"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10"/>
    </row>
    <row r="602" spans="1:25"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10"/>
    </row>
    <row r="603" spans="1:25"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10"/>
    </row>
    <row r="604" spans="1:25"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10"/>
    </row>
    <row r="605" spans="1:2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10"/>
    </row>
    <row r="606" spans="1:25"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10"/>
    </row>
    <row r="607" spans="1:25"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10"/>
    </row>
    <row r="608" spans="1:25"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10"/>
    </row>
    <row r="609" spans="1:25"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10"/>
    </row>
    <row r="610" spans="1:25"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10"/>
    </row>
    <row r="611" spans="1:25"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10"/>
    </row>
    <row r="612" spans="1:25"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10"/>
    </row>
    <row r="613" spans="1:25"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10"/>
    </row>
    <row r="614" spans="1:25"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10"/>
    </row>
    <row r="615" spans="1:2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10"/>
    </row>
    <row r="616" spans="1:25"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10"/>
    </row>
    <row r="617" spans="1:25"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10"/>
    </row>
    <row r="618" spans="1:25"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10"/>
    </row>
    <row r="619" spans="1:25"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10"/>
    </row>
    <row r="620" spans="1:25"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10"/>
    </row>
    <row r="621" spans="1:25"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10"/>
    </row>
    <row r="622" spans="1:25"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10"/>
    </row>
    <row r="623" spans="1:25"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10"/>
    </row>
    <row r="624" spans="1:25"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10"/>
    </row>
    <row r="625" spans="1: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10"/>
    </row>
    <row r="626" spans="1:25"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10"/>
    </row>
    <row r="627" spans="1:25"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10"/>
    </row>
    <row r="628" spans="1:25"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10"/>
    </row>
    <row r="629" spans="1:25"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10"/>
    </row>
    <row r="630" spans="1:25"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10"/>
    </row>
    <row r="631" spans="1:25"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10"/>
    </row>
    <row r="632" spans="1:25"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10"/>
    </row>
    <row r="633" spans="1:25"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10"/>
    </row>
    <row r="634" spans="1:25"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10"/>
    </row>
    <row r="635" spans="1:2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10"/>
    </row>
    <row r="636" spans="1:25"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10"/>
    </row>
    <row r="637" spans="1:25"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10"/>
    </row>
    <row r="638" spans="1:25"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10"/>
    </row>
    <row r="639" spans="1:25"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10"/>
    </row>
    <row r="640" spans="1:25"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10"/>
    </row>
    <row r="641" spans="1:25"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10"/>
    </row>
    <row r="642" spans="1:25"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10"/>
    </row>
    <row r="643" spans="1:25"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10"/>
    </row>
    <row r="644" spans="1:25"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10"/>
    </row>
    <row r="645" spans="1:2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10"/>
    </row>
    <row r="646" spans="1:25"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10"/>
    </row>
    <row r="647" spans="1:25"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10"/>
    </row>
    <row r="648" spans="1:25"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10"/>
    </row>
    <row r="649" spans="1:25"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10"/>
    </row>
    <row r="650" spans="1:25"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10"/>
    </row>
    <row r="651" spans="1:25"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10"/>
    </row>
    <row r="652" spans="1:25"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10"/>
    </row>
    <row r="653" spans="1:25"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10"/>
    </row>
    <row r="654" spans="1:25"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10"/>
    </row>
    <row r="655" spans="1:2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10"/>
    </row>
    <row r="656" spans="1:25"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10"/>
    </row>
    <row r="657" spans="1:25"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10"/>
    </row>
    <row r="658" spans="1:25"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10"/>
    </row>
    <row r="659" spans="1:25"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10"/>
    </row>
    <row r="660" spans="1:25"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10"/>
    </row>
    <row r="661" spans="1:25"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10"/>
    </row>
    <row r="662" spans="1:25"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10"/>
    </row>
    <row r="663" spans="1:25"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10"/>
    </row>
    <row r="664" spans="1:25"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10"/>
    </row>
    <row r="665" spans="1:2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10"/>
    </row>
    <row r="666" spans="1:25"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10"/>
    </row>
    <row r="667" spans="1:25"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10"/>
    </row>
    <row r="668" spans="1:25"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10"/>
    </row>
    <row r="669" spans="1:25"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10"/>
    </row>
    <row r="670" spans="1:25"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10"/>
    </row>
    <row r="671" spans="1:25"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10"/>
    </row>
    <row r="672" spans="1:25"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10"/>
    </row>
    <row r="673" spans="1:25"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10"/>
    </row>
    <row r="674" spans="1:25"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10"/>
    </row>
    <row r="675" spans="1:2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10"/>
    </row>
    <row r="676" spans="1:25"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10"/>
    </row>
    <row r="677" spans="1:25"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10"/>
    </row>
    <row r="678" spans="1:25"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10"/>
    </row>
    <row r="679" spans="1:25"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10"/>
    </row>
    <row r="680" spans="1:25"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10"/>
    </row>
    <row r="681" spans="1:25"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10"/>
    </row>
    <row r="682" spans="1:25"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10"/>
    </row>
    <row r="683" spans="1:25"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10"/>
    </row>
    <row r="684" spans="1:25"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10"/>
    </row>
    <row r="685" spans="1:2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10"/>
    </row>
    <row r="686" spans="1:25"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10"/>
    </row>
    <row r="687" spans="1:25"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10"/>
    </row>
    <row r="688" spans="1:25"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10"/>
    </row>
    <row r="689" spans="1:25"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10"/>
    </row>
    <row r="690" spans="1:25"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10"/>
    </row>
    <row r="691" spans="1:25"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10"/>
    </row>
    <row r="692" spans="1:25"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10"/>
    </row>
    <row r="693" spans="1:25"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10"/>
    </row>
    <row r="694" spans="1:25"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10"/>
    </row>
    <row r="695" spans="1:2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10"/>
    </row>
    <row r="696" spans="1:25"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10"/>
    </row>
    <row r="697" spans="1:25"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10"/>
    </row>
    <row r="698" spans="1:25"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10"/>
    </row>
    <row r="699" spans="1:25"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10"/>
    </row>
    <row r="700" spans="1:25"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10"/>
    </row>
    <row r="701" spans="1:25"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10"/>
    </row>
    <row r="702" spans="1:25"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10"/>
    </row>
    <row r="703" spans="1:25"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10"/>
    </row>
    <row r="704" spans="1:25"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10"/>
    </row>
    <row r="705" spans="1:2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10"/>
    </row>
    <row r="706" spans="1:25"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10"/>
    </row>
    <row r="707" spans="1:25"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10"/>
    </row>
    <row r="708" spans="1:25"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10"/>
    </row>
    <row r="709" spans="1:25"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10"/>
    </row>
    <row r="710" spans="1:25"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10"/>
    </row>
    <row r="711" spans="1:25"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10"/>
    </row>
    <row r="712" spans="1:25"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10"/>
    </row>
    <row r="713" spans="1:25"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10"/>
    </row>
    <row r="714" spans="1:25"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10"/>
    </row>
    <row r="715" spans="1:2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10"/>
    </row>
    <row r="716" spans="1:25"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10"/>
    </row>
    <row r="717" spans="1:25"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10"/>
    </row>
    <row r="718" spans="1:25"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10"/>
    </row>
    <row r="719" spans="1:25"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10"/>
    </row>
    <row r="720" spans="1:25"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10"/>
    </row>
    <row r="721" spans="1:25"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10"/>
    </row>
    <row r="722" spans="1:25"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10"/>
    </row>
    <row r="723" spans="1:25"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10"/>
    </row>
    <row r="724" spans="1:25"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10"/>
    </row>
    <row r="725" spans="1: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10"/>
    </row>
    <row r="726" spans="1:25"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10"/>
    </row>
    <row r="727" spans="1:25"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10"/>
    </row>
    <row r="728" spans="1:25"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10"/>
    </row>
    <row r="729" spans="1:25"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10"/>
    </row>
    <row r="730" spans="1:25"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10"/>
    </row>
    <row r="731" spans="1:25"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10"/>
    </row>
    <row r="732" spans="1:25"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10"/>
    </row>
    <row r="733" spans="1:25"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10"/>
    </row>
    <row r="734" spans="1:25"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10"/>
    </row>
    <row r="735" spans="1:2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10"/>
    </row>
    <row r="736" spans="1:25"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10"/>
    </row>
    <row r="737" spans="1:25"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10"/>
    </row>
    <row r="738" spans="1:25"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10"/>
    </row>
    <row r="739" spans="1:25"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10"/>
    </row>
    <row r="740" spans="1:25"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10"/>
    </row>
    <row r="741" spans="1:25"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10"/>
    </row>
    <row r="742" spans="1:25"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10"/>
    </row>
    <row r="743" spans="1:25"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10"/>
    </row>
    <row r="744" spans="1:25"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10"/>
    </row>
    <row r="745" spans="1:2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10"/>
    </row>
    <row r="746" spans="1:25"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10"/>
    </row>
    <row r="747" spans="1:25"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10"/>
    </row>
    <row r="748" spans="1:25"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10"/>
    </row>
    <row r="749" spans="1:25"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10"/>
    </row>
    <row r="750" spans="1:25"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10"/>
    </row>
    <row r="751" spans="1:25"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10"/>
    </row>
    <row r="752" spans="1:25"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10"/>
    </row>
    <row r="753" spans="1:25"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10"/>
    </row>
    <row r="754" spans="1:25"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10"/>
    </row>
    <row r="755" spans="1:2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10"/>
    </row>
    <row r="756" spans="1:25"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10"/>
    </row>
    <row r="757" spans="1:25"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10"/>
    </row>
    <row r="758" spans="1:25"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10"/>
    </row>
    <row r="759" spans="1:25"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10"/>
    </row>
    <row r="760" spans="1:25"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10"/>
    </row>
    <row r="761" spans="1:25"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10"/>
    </row>
    <row r="762" spans="1:25"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10"/>
    </row>
    <row r="763" spans="1:25"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10"/>
    </row>
    <row r="764" spans="1:25"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10"/>
    </row>
    <row r="765" spans="1:2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10"/>
    </row>
    <row r="766" spans="1:25"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10"/>
    </row>
    <row r="767" spans="1:25"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10"/>
    </row>
    <row r="768" spans="1:25"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10"/>
    </row>
    <row r="769" spans="1:25"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10"/>
    </row>
    <row r="770" spans="1:25"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10"/>
    </row>
    <row r="771" spans="1:25"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10"/>
    </row>
    <row r="772" spans="1:25"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10"/>
    </row>
    <row r="773" spans="1:25"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10"/>
    </row>
    <row r="774" spans="1:25"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10"/>
    </row>
    <row r="775" spans="1:2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10"/>
    </row>
    <row r="776" spans="1:25"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10"/>
    </row>
    <row r="777" spans="1:25"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10"/>
    </row>
    <row r="778" spans="1:25"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10"/>
    </row>
    <row r="779" spans="1:25"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10"/>
    </row>
    <row r="780" spans="1:25"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10"/>
    </row>
    <row r="781" spans="1:25"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10"/>
    </row>
    <row r="782" spans="1:25"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10"/>
    </row>
    <row r="783" spans="1:25"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10"/>
    </row>
    <row r="784" spans="1:25"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10"/>
    </row>
    <row r="785" spans="1:2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10"/>
    </row>
    <row r="786" spans="1:25"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10"/>
    </row>
    <row r="787" spans="1:25"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10"/>
    </row>
    <row r="788" spans="1:25"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10"/>
    </row>
    <row r="789" spans="1:25"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10"/>
    </row>
    <row r="790" spans="1:25"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10"/>
    </row>
    <row r="791" spans="1:25"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10"/>
    </row>
    <row r="792" spans="1:25"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10"/>
    </row>
    <row r="793" spans="1:25"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10"/>
    </row>
    <row r="794" spans="1:25"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10"/>
    </row>
    <row r="795" spans="1:2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10"/>
    </row>
    <row r="796" spans="1:25"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10"/>
    </row>
    <row r="797" spans="1:25"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10"/>
    </row>
    <row r="798" spans="1:25"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10"/>
    </row>
    <row r="799" spans="1:25"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10"/>
    </row>
    <row r="800" spans="1:25"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10"/>
    </row>
    <row r="801" spans="1:25"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10"/>
    </row>
    <row r="802" spans="1:25"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10"/>
    </row>
    <row r="803" spans="1:25"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10"/>
    </row>
    <row r="804" spans="1:25"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10"/>
    </row>
    <row r="805" spans="1:2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10"/>
    </row>
    <row r="806" spans="1:25"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10"/>
    </row>
    <row r="807" spans="1:25"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10"/>
    </row>
    <row r="808" spans="1:25"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10"/>
    </row>
    <row r="809" spans="1:25"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10"/>
    </row>
    <row r="810" spans="1:25"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10"/>
    </row>
    <row r="811" spans="1:25"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10"/>
    </row>
    <row r="812" spans="1:25"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10"/>
    </row>
    <row r="813" spans="1:25"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10"/>
    </row>
    <row r="814" spans="1:25"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10"/>
    </row>
    <row r="815" spans="1:2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10"/>
    </row>
    <row r="816" spans="1:25"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10"/>
    </row>
    <row r="817" spans="1:25"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10"/>
    </row>
    <row r="818" spans="1:25"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10"/>
    </row>
    <row r="819" spans="1:25"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10"/>
    </row>
    <row r="820" spans="1:25"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10"/>
    </row>
    <row r="821" spans="1:25"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10"/>
    </row>
    <row r="822" spans="1:25"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10"/>
    </row>
    <row r="823" spans="1:25"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10"/>
    </row>
    <row r="824" spans="1:25"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10"/>
    </row>
    <row r="825" spans="1: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10"/>
    </row>
    <row r="826" spans="1:25"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10"/>
    </row>
    <row r="827" spans="1:25"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10"/>
    </row>
    <row r="828" spans="1:25"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10"/>
    </row>
    <row r="829" spans="1:25"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10"/>
    </row>
    <row r="830" spans="1:25"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10"/>
    </row>
    <row r="831" spans="1:25"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10"/>
    </row>
    <row r="832" spans="1:25"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10"/>
    </row>
    <row r="833" spans="1:25"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10"/>
    </row>
    <row r="834" spans="1:25"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10"/>
    </row>
    <row r="835" spans="1:2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10"/>
    </row>
    <row r="836" spans="1:25"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10"/>
    </row>
    <row r="837" spans="1:25"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10"/>
    </row>
    <row r="838" spans="1:25"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10"/>
    </row>
    <row r="839" spans="1:25"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10"/>
    </row>
    <row r="840" spans="1:25"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10"/>
    </row>
    <row r="841" spans="1:25"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10"/>
    </row>
    <row r="842" spans="1:25"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10"/>
    </row>
    <row r="843" spans="1:25"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10"/>
    </row>
    <row r="844" spans="1:25"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10"/>
    </row>
    <row r="845" spans="1:2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10"/>
    </row>
    <row r="846" spans="1:25"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10"/>
    </row>
    <row r="847" spans="1:25"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10"/>
    </row>
    <row r="848" spans="1:25"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10"/>
    </row>
    <row r="849" spans="1:25"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10"/>
    </row>
    <row r="850" spans="1:25"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10"/>
    </row>
    <row r="851" spans="1:25"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10"/>
    </row>
    <row r="852" spans="1:25"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10"/>
    </row>
    <row r="853" spans="1:25"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10"/>
    </row>
    <row r="854" spans="1:25"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10"/>
    </row>
    <row r="855" spans="1:2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10"/>
    </row>
    <row r="856" spans="1:25"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10"/>
    </row>
    <row r="857" spans="1:25"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10"/>
    </row>
    <row r="858" spans="1:25"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10"/>
    </row>
    <row r="859" spans="1:25"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10"/>
    </row>
    <row r="860" spans="1:25"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10"/>
    </row>
    <row r="861" spans="1:25"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10"/>
    </row>
    <row r="862" spans="1:25"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10"/>
    </row>
    <row r="863" spans="1:25"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10"/>
    </row>
    <row r="864" spans="1:25"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10"/>
    </row>
    <row r="865" spans="1:2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10"/>
    </row>
    <row r="866" spans="1:25"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10"/>
    </row>
    <row r="867" spans="1:25"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10"/>
    </row>
    <row r="868" spans="1:25"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10"/>
    </row>
    <row r="869" spans="1:25"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10"/>
    </row>
    <row r="870" spans="1:25"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10"/>
    </row>
    <row r="871" spans="1:25"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10"/>
    </row>
    <row r="872" spans="1:25"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10"/>
    </row>
    <row r="873" spans="1:25"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10"/>
    </row>
    <row r="874" spans="1:25"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10"/>
    </row>
    <row r="875" spans="1:2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10"/>
    </row>
    <row r="876" spans="1:25"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10"/>
    </row>
    <row r="877" spans="1:25"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10"/>
    </row>
    <row r="878" spans="1:25"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10"/>
    </row>
    <row r="879" spans="1:25"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10"/>
    </row>
    <row r="880" spans="1:25"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10"/>
    </row>
    <row r="881" spans="1:25"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10"/>
    </row>
    <row r="882" spans="1:25"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10"/>
    </row>
    <row r="883" spans="1:25"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10"/>
    </row>
    <row r="884" spans="1:25"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10"/>
    </row>
    <row r="885" spans="1:2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10"/>
    </row>
    <row r="886" spans="1:25"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10"/>
    </row>
    <row r="887" spans="1:25"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10"/>
    </row>
    <row r="888" spans="1:25"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10"/>
    </row>
    <row r="889" spans="1:25"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10"/>
    </row>
    <row r="890" spans="1:25"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10"/>
    </row>
    <row r="891" spans="1:25"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10"/>
    </row>
    <row r="892" spans="1:25"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10"/>
    </row>
    <row r="893" spans="1:25"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10"/>
    </row>
    <row r="894" spans="1:25"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10"/>
    </row>
    <row r="895" spans="1:2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10"/>
    </row>
    <row r="896" spans="1:25"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10"/>
    </row>
    <row r="897" spans="1:25"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10"/>
    </row>
    <row r="898" spans="1:25"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10"/>
    </row>
    <row r="899" spans="1:25"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10"/>
    </row>
    <row r="900" spans="1:25"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10"/>
    </row>
    <row r="901" spans="1:25"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10"/>
    </row>
    <row r="902" spans="1:25"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10"/>
    </row>
    <row r="903" spans="1:25"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10"/>
    </row>
    <row r="904" spans="1:25"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10"/>
    </row>
    <row r="905" spans="1:2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10"/>
    </row>
    <row r="906" spans="1:25"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10"/>
    </row>
    <row r="907" spans="1:25"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10"/>
    </row>
    <row r="908" spans="1:25"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10"/>
    </row>
    <row r="909" spans="1:25"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10"/>
    </row>
    <row r="910" spans="1:25"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10"/>
    </row>
    <row r="911" spans="1:25"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10"/>
    </row>
    <row r="912" spans="1:25"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10"/>
    </row>
    <row r="913" spans="1:25"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10"/>
    </row>
    <row r="914" spans="1:25"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10"/>
    </row>
    <row r="915" spans="1:2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10"/>
    </row>
    <row r="916" spans="1:25"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10"/>
    </row>
    <row r="917" spans="1:25"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10"/>
    </row>
    <row r="918" spans="1:25"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10"/>
    </row>
    <row r="919" spans="1:25"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10"/>
    </row>
    <row r="920" spans="1:25"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10"/>
    </row>
    <row r="921" spans="1:25"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10"/>
    </row>
    <row r="922" spans="1:25"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10"/>
    </row>
    <row r="923" spans="1:25"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10"/>
    </row>
    <row r="924" spans="1:25"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10"/>
    </row>
    <row r="925" spans="1: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10"/>
    </row>
    <row r="926" spans="1:25"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10"/>
    </row>
    <row r="927" spans="1:25"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10"/>
    </row>
    <row r="928" spans="1:25"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10"/>
    </row>
    <row r="929" spans="1:25"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10"/>
    </row>
    <row r="930" spans="1:25"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10"/>
    </row>
    <row r="931" spans="1:25"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10"/>
    </row>
    <row r="932" spans="1:25"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10"/>
    </row>
    <row r="933" spans="1:25"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10"/>
    </row>
    <row r="934" spans="1:25"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10"/>
    </row>
    <row r="935" spans="1:2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10"/>
    </row>
    <row r="936" spans="1:25"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10"/>
    </row>
    <row r="937" spans="1:25"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10"/>
    </row>
    <row r="938" spans="1:25"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10"/>
    </row>
    <row r="939" spans="1:25"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10"/>
    </row>
    <row r="940" spans="1:25"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10"/>
    </row>
    <row r="941" spans="1:25"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10"/>
    </row>
    <row r="942" spans="1:25"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10"/>
    </row>
    <row r="943" spans="1:25"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10"/>
    </row>
    <row r="944" spans="1:25"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10"/>
    </row>
    <row r="945" spans="1:2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10"/>
    </row>
    <row r="946" spans="1:25"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10"/>
    </row>
    <row r="947" spans="1:25"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10"/>
    </row>
    <row r="948" spans="1:25"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10"/>
    </row>
    <row r="949" spans="1:25"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10"/>
    </row>
    <row r="950" spans="1:25"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10"/>
    </row>
    <row r="951" spans="1:25"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10"/>
    </row>
    <row r="952" spans="1:25"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10"/>
    </row>
    <row r="953" spans="1:25"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10"/>
    </row>
    <row r="954" spans="1:25"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10"/>
    </row>
    <row r="955" spans="1:2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10"/>
    </row>
    <row r="956" spans="1:25"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10"/>
    </row>
    <row r="957" spans="1:25"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10"/>
    </row>
    <row r="958" spans="1:25"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10"/>
    </row>
    <row r="959" spans="1:25"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10"/>
    </row>
    <row r="960" spans="1:25"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10"/>
    </row>
    <row r="961" spans="1:25"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10"/>
    </row>
    <row r="962" spans="1:25"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10"/>
    </row>
    <row r="963" spans="1:25"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10"/>
    </row>
    <row r="964" spans="1:25"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10"/>
    </row>
    <row r="965" spans="1:2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10"/>
    </row>
    <row r="966" spans="1:25"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10"/>
    </row>
    <row r="967" spans="1:25"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10"/>
    </row>
    <row r="968" spans="1:25"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10"/>
    </row>
    <row r="969" spans="1:25"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10"/>
    </row>
    <row r="970" spans="1:25"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10"/>
    </row>
    <row r="971" spans="1:25"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10"/>
    </row>
    <row r="972" spans="1:25"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10"/>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14.xml><?xml version="1.0" encoding="utf-8"?>
<worksheet xmlns="http://schemas.openxmlformats.org/spreadsheetml/2006/main" xmlns:r="http://schemas.openxmlformats.org/officeDocument/2006/relationships">
  <sheetPr>
    <outlinePr summaryBelow="0" summaryRight="0"/>
  </sheetPr>
  <dimension ref="A1:Y972"/>
  <sheetViews>
    <sheetView workbookViewId="0">
      <pane xSplit="4" ySplit="5" topLeftCell="E211" activePane="bottomRight" state="frozen"/>
      <selection pane="topRight" activeCell="E1" sqref="E1"/>
      <selection pane="bottomLeft" activeCell="A6" sqref="A6"/>
      <selection pane="bottomRight" activeCell="P220" sqref="P220"/>
    </sheetView>
  </sheetViews>
  <sheetFormatPr defaultColWidth="14.42578125" defaultRowHeight="15" customHeight="1"/>
  <cols>
    <col min="1" max="1" width="5.140625" style="111" customWidth="1"/>
    <col min="2" max="2" width="7" style="111" customWidth="1"/>
    <col min="3" max="3" width="11.42578125" style="111" customWidth="1"/>
    <col min="4" max="4" width="8.140625" style="111" customWidth="1"/>
    <col min="5" max="5" width="25.42578125" style="111" customWidth="1"/>
    <col min="6" max="6" width="10" style="111" customWidth="1"/>
    <col min="7" max="7" width="9" style="111" hidden="1" customWidth="1"/>
    <col min="8" max="8" width="10.28515625" style="111" customWidth="1"/>
    <col min="9" max="9" width="6.7109375" style="111" customWidth="1"/>
    <col min="10" max="10" width="9.7109375" style="111" customWidth="1"/>
    <col min="11" max="11" width="6" style="111" hidden="1" customWidth="1"/>
    <col min="12" max="12" width="10.5703125" style="111" customWidth="1"/>
    <col min="13" max="13" width="16.28515625" style="111" hidden="1" customWidth="1"/>
    <col min="14" max="14" width="9.140625" style="111" customWidth="1"/>
    <col min="15" max="15" width="10.140625" style="111" customWidth="1"/>
    <col min="16" max="16" width="9.28515625" style="111" customWidth="1"/>
    <col min="17" max="17" width="27.28515625" style="111" hidden="1" customWidth="1"/>
    <col min="18" max="18" width="6.7109375" style="111" customWidth="1"/>
    <col min="19" max="19" width="29.85546875" style="111" hidden="1" customWidth="1"/>
    <col min="20" max="20" width="10.85546875" style="111" customWidth="1"/>
    <col min="21" max="21" width="25.5703125" style="111" hidden="1" customWidth="1"/>
    <col min="22" max="22" width="9.85546875" style="111" customWidth="1"/>
    <col min="23" max="23" width="9.140625" style="111" hidden="1" customWidth="1"/>
    <col min="24" max="24" width="9.42578125" style="111" customWidth="1"/>
    <col min="25" max="25" width="43.42578125" style="179"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8"/>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8"/>
    </row>
    <row r="3" spans="1:25" ht="22.5" customHeight="1">
      <c r="A3" s="38"/>
      <c r="B3" s="112"/>
      <c r="C3" s="112"/>
      <c r="D3" s="112"/>
      <c r="E3" s="112" t="s">
        <v>407</v>
      </c>
      <c r="F3" s="112"/>
      <c r="G3" s="112"/>
      <c r="H3" s="112"/>
      <c r="I3" s="112"/>
      <c r="J3" s="112"/>
      <c r="K3" s="112"/>
      <c r="L3" s="112"/>
      <c r="M3" s="112"/>
      <c r="N3" s="112"/>
      <c r="O3" s="112"/>
      <c r="P3" s="112"/>
      <c r="Q3" s="112"/>
      <c r="R3" s="112"/>
      <c r="S3" s="112"/>
      <c r="T3" s="112"/>
      <c r="U3" s="112"/>
      <c r="V3" s="112"/>
      <c r="W3" s="113"/>
      <c r="X3" s="470" t="s">
        <v>2</v>
      </c>
      <c r="Y3" s="471"/>
    </row>
    <row r="4" spans="1:25" ht="66"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42"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505"/>
    </row>
    <row r="6" spans="1:25" ht="39" customHeight="1">
      <c r="A6" s="477" t="s">
        <v>24</v>
      </c>
      <c r="B6" s="476" t="s">
        <v>25</v>
      </c>
      <c r="C6" s="476" t="s">
        <v>26</v>
      </c>
      <c r="D6" s="106">
        <v>1</v>
      </c>
      <c r="E6" s="223"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8"/>
    </row>
    <row r="7" spans="1:25" ht="47.25">
      <c r="A7" s="469"/>
      <c r="B7" s="469"/>
      <c r="C7" s="469"/>
      <c r="D7" s="106">
        <v>2</v>
      </c>
      <c r="E7" s="115" t="s">
        <v>28</v>
      </c>
      <c r="F7" s="116"/>
      <c r="G7" s="116"/>
      <c r="H7" s="116"/>
      <c r="I7" s="116"/>
      <c r="J7" s="116">
        <f t="shared" si="0"/>
        <v>0</v>
      </c>
      <c r="K7" s="116"/>
      <c r="L7" s="116"/>
      <c r="M7" s="116"/>
      <c r="N7" s="116"/>
      <c r="O7" s="119"/>
      <c r="P7" s="117">
        <f t="shared" si="1"/>
        <v>0</v>
      </c>
      <c r="Q7" s="120"/>
      <c r="R7" s="120"/>
      <c r="S7" s="121"/>
      <c r="T7" s="121"/>
      <c r="U7" s="116"/>
      <c r="V7" s="116"/>
      <c r="W7" s="117"/>
      <c r="X7" s="117">
        <f t="shared" si="2"/>
        <v>0</v>
      </c>
      <c r="Y7" s="98"/>
    </row>
    <row r="8" spans="1:25" ht="173.25">
      <c r="A8" s="469"/>
      <c r="B8" s="469"/>
      <c r="C8" s="469"/>
      <c r="D8" s="106">
        <v>3</v>
      </c>
      <c r="E8" s="106" t="s">
        <v>29</v>
      </c>
      <c r="F8" s="121">
        <v>19.389810000000001</v>
      </c>
      <c r="G8" s="116"/>
      <c r="H8" s="120"/>
      <c r="I8" s="120"/>
      <c r="J8" s="116">
        <f t="shared" si="0"/>
        <v>0</v>
      </c>
      <c r="K8" s="120"/>
      <c r="L8" s="120"/>
      <c r="M8" s="120"/>
      <c r="N8" s="120"/>
      <c r="O8" s="120"/>
      <c r="P8" s="116">
        <f t="shared" si="1"/>
        <v>0</v>
      </c>
      <c r="Q8" s="120"/>
      <c r="R8" s="120"/>
      <c r="S8" s="120"/>
      <c r="T8" s="120"/>
      <c r="U8" s="116"/>
      <c r="V8" s="116"/>
      <c r="W8" s="117"/>
      <c r="X8" s="117">
        <f t="shared" si="2"/>
        <v>19.389810000000001</v>
      </c>
      <c r="Y8" s="98" t="s">
        <v>878</v>
      </c>
    </row>
    <row r="9" spans="1:25" ht="409.5">
      <c r="A9" s="469"/>
      <c r="B9" s="469"/>
      <c r="C9" s="469"/>
      <c r="D9" s="106">
        <v>4</v>
      </c>
      <c r="E9" s="106" t="s">
        <v>30</v>
      </c>
      <c r="F9" s="116"/>
      <c r="G9" s="116"/>
      <c r="H9" s="116"/>
      <c r="I9" s="116"/>
      <c r="J9" s="116">
        <f t="shared" si="0"/>
        <v>0</v>
      </c>
      <c r="K9" s="116"/>
      <c r="L9" s="116"/>
      <c r="M9" s="116"/>
      <c r="N9" s="116"/>
      <c r="O9" s="390">
        <v>21.735499999999998</v>
      </c>
      <c r="P9" s="420">
        <f t="shared" si="1"/>
        <v>21.735499999999998</v>
      </c>
      <c r="Q9" s="263"/>
      <c r="R9" s="391">
        <v>40.438000000000002</v>
      </c>
      <c r="S9" s="121"/>
      <c r="T9" s="121">
        <v>31.653400000000001</v>
      </c>
      <c r="U9" s="120"/>
      <c r="V9" s="120"/>
      <c r="W9" s="117"/>
      <c r="X9" s="117">
        <f t="shared" si="2"/>
        <v>93.826900000000009</v>
      </c>
      <c r="Y9" s="98" t="s">
        <v>879</v>
      </c>
    </row>
    <row r="10" spans="1:25" ht="41.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19.971</v>
      </c>
      <c r="U10" s="120"/>
      <c r="V10" s="120"/>
      <c r="W10" s="117"/>
      <c r="X10" s="117">
        <f t="shared" si="2"/>
        <v>19.971</v>
      </c>
      <c r="Y10" s="98" t="s">
        <v>880</v>
      </c>
    </row>
    <row r="11" spans="1:25" ht="220.5">
      <c r="A11" s="469"/>
      <c r="B11" s="469"/>
      <c r="C11" s="469"/>
      <c r="D11" s="106">
        <v>6</v>
      </c>
      <c r="E11" s="106" t="s">
        <v>32</v>
      </c>
      <c r="F11" s="120">
        <v>0.8</v>
      </c>
      <c r="G11" s="120"/>
      <c r="H11" s="120"/>
      <c r="I11" s="120"/>
      <c r="J11" s="116">
        <f t="shared" si="0"/>
        <v>0</v>
      </c>
      <c r="K11" s="120"/>
      <c r="L11" s="120"/>
      <c r="M11" s="120"/>
      <c r="N11" s="120"/>
      <c r="O11" s="120"/>
      <c r="P11" s="116">
        <f t="shared" si="1"/>
        <v>0</v>
      </c>
      <c r="Q11" s="120"/>
      <c r="R11" s="120"/>
      <c r="S11" s="121"/>
      <c r="T11" s="124">
        <v>0.63</v>
      </c>
      <c r="U11" s="120"/>
      <c r="V11" s="120"/>
      <c r="W11" s="117"/>
      <c r="X11" s="117">
        <f t="shared" si="2"/>
        <v>1.4300000000000002</v>
      </c>
      <c r="Y11" s="98" t="s">
        <v>881</v>
      </c>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8"/>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8"/>
    </row>
    <row r="14" spans="1:25" ht="61.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7.0000000000000007E-2</v>
      </c>
      <c r="U14" s="121"/>
      <c r="V14" s="121"/>
      <c r="W14" s="117"/>
      <c r="X14" s="117">
        <f t="shared" si="2"/>
        <v>7.0000000000000007E-2</v>
      </c>
      <c r="Y14" s="98" t="s">
        <v>818</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8"/>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8"/>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8"/>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8"/>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8"/>
    </row>
    <row r="20" spans="1:25" ht="15.75">
      <c r="A20" s="469"/>
      <c r="B20" s="469"/>
      <c r="C20" s="469"/>
      <c r="D20" s="106">
        <v>15</v>
      </c>
      <c r="E20" s="106" t="s">
        <v>41</v>
      </c>
      <c r="F20" s="120"/>
      <c r="G20" s="120"/>
      <c r="H20" s="120"/>
      <c r="I20" s="120"/>
      <c r="J20" s="116">
        <f t="shared" si="0"/>
        <v>0</v>
      </c>
      <c r="K20" s="126"/>
      <c r="L20" s="126"/>
      <c r="M20" s="116"/>
      <c r="N20" s="120"/>
      <c r="O20" s="120"/>
      <c r="P20" s="116">
        <f t="shared" si="1"/>
        <v>0</v>
      </c>
      <c r="Q20" s="120"/>
      <c r="R20" s="120"/>
      <c r="S20" s="125"/>
      <c r="T20" s="125">
        <v>0</v>
      </c>
      <c r="U20" s="116"/>
      <c r="V20" s="116"/>
      <c r="W20" s="117"/>
      <c r="X20" s="117">
        <f t="shared" si="2"/>
        <v>0</v>
      </c>
      <c r="Y20" s="98"/>
    </row>
    <row r="21" spans="1:25" ht="36.75" hidden="1"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8"/>
    </row>
    <row r="22" spans="1:25" ht="15.7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8"/>
    </row>
    <row r="23" spans="1:25" ht="31.5" hidden="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8"/>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8"/>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8"/>
    </row>
    <row r="26" spans="1:25" ht="126" customHeight="1">
      <c r="A26" s="469"/>
      <c r="B26" s="476" t="s">
        <v>48</v>
      </c>
      <c r="C26" s="476" t="s">
        <v>49</v>
      </c>
      <c r="D26" s="106">
        <v>21</v>
      </c>
      <c r="E26" s="106" t="s">
        <v>50</v>
      </c>
      <c r="F26" s="120"/>
      <c r="G26" s="120"/>
      <c r="H26" s="120"/>
      <c r="I26" s="121"/>
      <c r="J26" s="125">
        <f t="shared" si="0"/>
        <v>0</v>
      </c>
      <c r="K26" s="122"/>
      <c r="L26" s="122">
        <v>0</v>
      </c>
      <c r="M26" s="120"/>
      <c r="N26" s="120"/>
      <c r="O26" s="122"/>
      <c r="P26" s="117">
        <f t="shared" si="1"/>
        <v>0</v>
      </c>
      <c r="Q26" s="120"/>
      <c r="R26" s="120"/>
      <c r="S26" s="121"/>
      <c r="T26" s="121">
        <v>14.1</v>
      </c>
      <c r="U26" s="115"/>
      <c r="V26" s="120"/>
      <c r="W26" s="117"/>
      <c r="X26" s="117">
        <f t="shared" si="2"/>
        <v>14.1</v>
      </c>
      <c r="Y26" s="98" t="s">
        <v>787</v>
      </c>
    </row>
    <row r="27" spans="1:25" ht="175.5" customHeight="1">
      <c r="A27" s="469"/>
      <c r="B27" s="469"/>
      <c r="C27" s="469"/>
      <c r="D27" s="106">
        <v>22</v>
      </c>
      <c r="E27" s="106" t="s">
        <v>52</v>
      </c>
      <c r="F27" s="121"/>
      <c r="G27" s="120"/>
      <c r="H27" s="120"/>
      <c r="I27" s="121"/>
      <c r="J27" s="125">
        <f t="shared" si="0"/>
        <v>0</v>
      </c>
      <c r="K27" s="129"/>
      <c r="L27" s="129">
        <v>10.996</v>
      </c>
      <c r="M27" s="115"/>
      <c r="N27" s="120"/>
      <c r="O27" s="120"/>
      <c r="P27" s="116">
        <f t="shared" si="1"/>
        <v>0</v>
      </c>
      <c r="Q27" s="121"/>
      <c r="R27" s="121">
        <v>1</v>
      </c>
      <c r="S27" s="125"/>
      <c r="T27" s="121">
        <v>36.305700000000002</v>
      </c>
      <c r="U27" s="115"/>
      <c r="V27" s="120"/>
      <c r="W27" s="117"/>
      <c r="X27" s="117">
        <f t="shared" si="2"/>
        <v>48.301700000000004</v>
      </c>
      <c r="Y27" s="98" t="s">
        <v>788</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98"/>
    </row>
    <row r="29" spans="1:25" ht="110.25">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2.35</v>
      </c>
      <c r="U29" s="298"/>
      <c r="V29" s="120"/>
      <c r="W29" s="117"/>
      <c r="X29" s="117">
        <f t="shared" si="2"/>
        <v>2.35</v>
      </c>
      <c r="Y29" s="98" t="s">
        <v>789</v>
      </c>
    </row>
    <row r="30" spans="1:25" ht="393.7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0.59899999999999998</v>
      </c>
      <c r="U30" s="115"/>
      <c r="V30" s="120"/>
      <c r="W30" s="117"/>
      <c r="X30" s="117">
        <f t="shared" si="2"/>
        <v>0.59899999999999998</v>
      </c>
      <c r="Y30" s="98" t="s">
        <v>790</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98"/>
    </row>
    <row r="32" spans="1:25" ht="47.25">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1</v>
      </c>
      <c r="U32" s="131"/>
      <c r="V32" s="120"/>
      <c r="W32" s="117"/>
      <c r="X32" s="117">
        <f t="shared" si="2"/>
        <v>1</v>
      </c>
      <c r="Y32" s="98" t="s">
        <v>799</v>
      </c>
    </row>
    <row r="33" spans="1:25" ht="50.25" customHeight="1">
      <c r="A33" s="469"/>
      <c r="B33" s="469"/>
      <c r="C33" s="469"/>
      <c r="D33" s="106">
        <v>28</v>
      </c>
      <c r="E33" s="106" t="s">
        <v>30</v>
      </c>
      <c r="F33" s="120"/>
      <c r="G33" s="120"/>
      <c r="H33" s="120"/>
      <c r="I33" s="120"/>
      <c r="J33" s="116">
        <f t="shared" si="0"/>
        <v>0</v>
      </c>
      <c r="K33" s="120"/>
      <c r="L33" s="120"/>
      <c r="M33" s="120"/>
      <c r="N33" s="120"/>
      <c r="O33" s="122">
        <v>4.0526999999999997</v>
      </c>
      <c r="P33" s="117">
        <f t="shared" si="1"/>
        <v>4.0526999999999997</v>
      </c>
      <c r="Q33" s="97"/>
      <c r="R33" s="122">
        <v>4.0526999999999997</v>
      </c>
      <c r="S33" s="97"/>
      <c r="T33" s="120"/>
      <c r="U33" s="120"/>
      <c r="V33" s="120"/>
      <c r="W33" s="117"/>
      <c r="X33" s="117">
        <f t="shared" si="2"/>
        <v>8.1053999999999995</v>
      </c>
      <c r="Y33" s="98" t="s">
        <v>791</v>
      </c>
    </row>
    <row r="34" spans="1:25" ht="48" customHeight="1">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14.18445</v>
      </c>
      <c r="U34" s="97"/>
      <c r="V34" s="120"/>
      <c r="W34" s="117"/>
      <c r="X34" s="117">
        <f t="shared" si="2"/>
        <v>14.18445</v>
      </c>
      <c r="Y34" s="98" t="s">
        <v>792</v>
      </c>
    </row>
    <row r="35" spans="1:25" ht="31.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98"/>
    </row>
    <row r="36" spans="1:25" ht="31.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8"/>
    </row>
    <row r="37" spans="1:25" ht="346.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9.2723999999999993</v>
      </c>
      <c r="U37" s="117"/>
      <c r="V37" s="122"/>
      <c r="W37" s="117"/>
      <c r="X37" s="117">
        <f t="shared" si="2"/>
        <v>9.2723999999999993</v>
      </c>
      <c r="Y37" s="98" t="s">
        <v>1174</v>
      </c>
    </row>
    <row r="38" spans="1:25" ht="35.25" customHeight="1">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98"/>
    </row>
    <row r="39" spans="1:25" ht="39.75"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8"/>
    </row>
    <row r="40" spans="1:25" ht="173.25">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f>1.08+1.73+0.27</f>
        <v>3.08</v>
      </c>
      <c r="U40" s="116"/>
      <c r="V40" s="116"/>
      <c r="W40" s="117"/>
      <c r="X40" s="117">
        <f t="shared" si="2"/>
        <v>3.08</v>
      </c>
      <c r="Y40" s="98" t="s">
        <v>408</v>
      </c>
    </row>
    <row r="41" spans="1:25" ht="31.5">
      <c r="A41" s="469"/>
      <c r="B41" s="469"/>
      <c r="C41" s="469"/>
      <c r="D41" s="106">
        <v>36</v>
      </c>
      <c r="E41" s="223" t="s">
        <v>70</v>
      </c>
      <c r="F41" s="116"/>
      <c r="G41" s="116"/>
      <c r="H41" s="116"/>
      <c r="I41" s="116"/>
      <c r="J41" s="116">
        <f t="shared" si="0"/>
        <v>0</v>
      </c>
      <c r="K41" s="116"/>
      <c r="L41" s="116"/>
      <c r="M41" s="116"/>
      <c r="N41" s="116"/>
      <c r="O41" s="117"/>
      <c r="P41" s="117">
        <f t="shared" si="1"/>
        <v>0</v>
      </c>
      <c r="Q41" s="116"/>
      <c r="R41" s="116"/>
      <c r="S41" s="116"/>
      <c r="T41" s="116"/>
      <c r="U41" s="116"/>
      <c r="V41" s="116"/>
      <c r="W41" s="117"/>
      <c r="X41" s="117">
        <f t="shared" si="2"/>
        <v>0</v>
      </c>
      <c r="Y41" s="98"/>
    </row>
    <row r="42" spans="1:25" ht="31.5">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8"/>
    </row>
    <row r="43" spans="1:25" ht="110.25">
      <c r="A43" s="469"/>
      <c r="B43" s="469"/>
      <c r="C43" s="469"/>
      <c r="D43" s="106">
        <v>38</v>
      </c>
      <c r="E43" s="139" t="s">
        <v>72</v>
      </c>
      <c r="F43" s="116"/>
      <c r="G43" s="116"/>
      <c r="H43" s="116"/>
      <c r="I43" s="116"/>
      <c r="J43" s="116">
        <f t="shared" si="0"/>
        <v>0</v>
      </c>
      <c r="K43" s="116"/>
      <c r="L43" s="116"/>
      <c r="M43" s="116"/>
      <c r="N43" s="116"/>
      <c r="O43" s="116"/>
      <c r="P43" s="116">
        <f t="shared" si="1"/>
        <v>0</v>
      </c>
      <c r="Q43" s="116"/>
      <c r="R43" s="116"/>
      <c r="S43" s="125"/>
      <c r="T43" s="125">
        <f>3.3+0.9</f>
        <v>4.2</v>
      </c>
      <c r="U43" s="116"/>
      <c r="V43" s="116"/>
      <c r="W43" s="117"/>
      <c r="X43" s="117">
        <f t="shared" si="2"/>
        <v>4.2</v>
      </c>
      <c r="Y43" s="98" t="s">
        <v>586</v>
      </c>
    </row>
    <row r="44" spans="1:25" ht="47.25">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16"/>
      <c r="V44" s="116"/>
      <c r="W44" s="117"/>
      <c r="X44" s="117">
        <f t="shared" si="2"/>
        <v>0</v>
      </c>
      <c r="Y44" s="98"/>
    </row>
    <row r="45" spans="1:25" ht="78.75">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(500*7*15)/100000</f>
        <v>0.52500000000000002</v>
      </c>
      <c r="U45" s="116"/>
      <c r="V45" s="116"/>
      <c r="W45" s="117"/>
      <c r="X45" s="117">
        <f t="shared" si="2"/>
        <v>0.52500000000000002</v>
      </c>
      <c r="Y45" s="98" t="s">
        <v>587</v>
      </c>
    </row>
    <row r="46" spans="1:25" ht="31.5" hidden="1">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8"/>
    </row>
    <row r="47" spans="1:25" ht="78.75">
      <c r="A47" s="469"/>
      <c r="B47" s="476" t="s">
        <v>76</v>
      </c>
      <c r="C47" s="476" t="s">
        <v>77</v>
      </c>
      <c r="D47" s="106">
        <v>42</v>
      </c>
      <c r="E47" s="106" t="s">
        <v>78</v>
      </c>
      <c r="F47" s="121">
        <v>2.16825</v>
      </c>
      <c r="G47" s="120"/>
      <c r="H47" s="120"/>
      <c r="I47" s="120"/>
      <c r="J47" s="116">
        <f t="shared" si="0"/>
        <v>0</v>
      </c>
      <c r="K47" s="122"/>
      <c r="L47" s="122"/>
      <c r="M47" s="120"/>
      <c r="N47" s="120"/>
      <c r="O47" s="120"/>
      <c r="P47" s="116">
        <f t="shared" si="1"/>
        <v>0</v>
      </c>
      <c r="Q47" s="120"/>
      <c r="R47" s="120"/>
      <c r="S47" s="121"/>
      <c r="T47" s="121"/>
      <c r="U47" s="120"/>
      <c r="V47" s="120"/>
      <c r="W47" s="117"/>
      <c r="X47" s="117">
        <f t="shared" si="2"/>
        <v>2.16825</v>
      </c>
      <c r="Y47" s="98" t="s">
        <v>953</v>
      </c>
    </row>
    <row r="48" spans="1:25" ht="42" customHeight="1">
      <c r="A48" s="469"/>
      <c r="B48" s="469"/>
      <c r="C48" s="469"/>
      <c r="D48" s="106">
        <v>43</v>
      </c>
      <c r="E48" s="106" t="s">
        <v>79</v>
      </c>
      <c r="F48" s="121">
        <v>0.34499999999999997</v>
      </c>
      <c r="G48" s="120"/>
      <c r="H48" s="120"/>
      <c r="I48" s="120"/>
      <c r="J48" s="116">
        <f t="shared" si="0"/>
        <v>0</v>
      </c>
      <c r="K48" s="122"/>
      <c r="L48" s="122"/>
      <c r="M48" s="120"/>
      <c r="N48" s="120"/>
      <c r="O48" s="120"/>
      <c r="P48" s="116">
        <f t="shared" si="1"/>
        <v>0</v>
      </c>
      <c r="Q48" s="120"/>
      <c r="R48" s="120"/>
      <c r="S48" s="121"/>
      <c r="T48" s="121"/>
      <c r="U48" s="120"/>
      <c r="V48" s="120"/>
      <c r="W48" s="117"/>
      <c r="X48" s="117">
        <f t="shared" si="2"/>
        <v>0.34499999999999997</v>
      </c>
      <c r="Y48" s="98" t="s">
        <v>954</v>
      </c>
    </row>
    <row r="49" spans="1:25" ht="63">
      <c r="A49" s="469"/>
      <c r="B49" s="469"/>
      <c r="C49" s="469"/>
      <c r="D49" s="106">
        <v>44</v>
      </c>
      <c r="E49" s="106" t="s">
        <v>80</v>
      </c>
      <c r="F49" s="121">
        <v>0.17699999999999999</v>
      </c>
      <c r="G49" s="120"/>
      <c r="H49" s="120"/>
      <c r="I49" s="120"/>
      <c r="J49" s="116">
        <f t="shared" si="0"/>
        <v>0</v>
      </c>
      <c r="K49" s="122"/>
      <c r="L49" s="122"/>
      <c r="M49" s="120"/>
      <c r="N49" s="120"/>
      <c r="O49" s="120"/>
      <c r="P49" s="116">
        <f t="shared" si="1"/>
        <v>0</v>
      </c>
      <c r="Q49" s="120"/>
      <c r="R49" s="120"/>
      <c r="S49" s="121"/>
      <c r="T49" s="121"/>
      <c r="U49" s="120"/>
      <c r="V49" s="120"/>
      <c r="W49" s="117"/>
      <c r="X49" s="117">
        <f t="shared" si="2"/>
        <v>0.17699999999999999</v>
      </c>
      <c r="Y49" s="98" t="s">
        <v>906</v>
      </c>
    </row>
    <row r="50" spans="1:25" ht="63">
      <c r="A50" s="469"/>
      <c r="B50" s="469"/>
      <c r="C50" s="469"/>
      <c r="D50" s="106"/>
      <c r="E50" s="106" t="s">
        <v>81</v>
      </c>
      <c r="F50" s="121">
        <v>9.6000000000000002E-2</v>
      </c>
      <c r="G50" s="120"/>
      <c r="H50" s="120"/>
      <c r="I50" s="120"/>
      <c r="J50" s="116">
        <f t="shared" si="0"/>
        <v>0</v>
      </c>
      <c r="K50" s="120"/>
      <c r="L50" s="120"/>
      <c r="M50" s="120"/>
      <c r="N50" s="120"/>
      <c r="O50" s="120"/>
      <c r="P50" s="116">
        <f t="shared" si="1"/>
        <v>0</v>
      </c>
      <c r="Q50" s="120"/>
      <c r="R50" s="120"/>
      <c r="S50" s="120"/>
      <c r="T50" s="120"/>
      <c r="U50" s="120"/>
      <c r="V50" s="120"/>
      <c r="W50" s="117"/>
      <c r="X50" s="117">
        <f t="shared" si="2"/>
        <v>9.6000000000000002E-2</v>
      </c>
      <c r="Y50" s="98" t="s">
        <v>907</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8"/>
    </row>
    <row r="52" spans="1:25" ht="31.5">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98"/>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98"/>
    </row>
    <row r="54" spans="1:25" ht="47.25">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98"/>
    </row>
    <row r="55" spans="1:25" ht="31.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98"/>
    </row>
    <row r="56" spans="1:25" ht="31.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8"/>
    </row>
    <row r="57" spans="1:25" ht="15.7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98"/>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129"/>
    </row>
    <row r="59" spans="1:25" ht="157.5">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1</v>
      </c>
      <c r="U59" s="115"/>
      <c r="V59" s="120"/>
      <c r="W59" s="117"/>
      <c r="X59" s="117">
        <f t="shared" si="2"/>
        <v>1</v>
      </c>
      <c r="Y59" s="98" t="s">
        <v>808</v>
      </c>
    </row>
    <row r="60" spans="1:25" ht="31.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8"/>
    </row>
    <row r="61" spans="1:25" ht="31.5">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0"/>
      <c r="T61" s="120"/>
      <c r="U61" s="120"/>
      <c r="V61" s="120"/>
      <c r="W61" s="117"/>
      <c r="X61" s="117">
        <f t="shared" si="2"/>
        <v>0</v>
      </c>
      <c r="Y61" s="98"/>
    </row>
    <row r="62" spans="1:25" ht="31.5">
      <c r="A62" s="469"/>
      <c r="B62" s="469"/>
      <c r="C62" s="469"/>
      <c r="D62" s="106">
        <v>57</v>
      </c>
      <c r="E62" s="106" t="s">
        <v>95</v>
      </c>
      <c r="F62" s="120"/>
      <c r="G62" s="120"/>
      <c r="H62" s="120"/>
      <c r="I62" s="121"/>
      <c r="J62" s="125">
        <f t="shared" si="0"/>
        <v>0</v>
      </c>
      <c r="K62" s="120"/>
      <c r="L62" s="120"/>
      <c r="M62" s="120"/>
      <c r="N62" s="120"/>
      <c r="O62" s="120"/>
      <c r="P62" s="116">
        <f t="shared" si="1"/>
        <v>0</v>
      </c>
      <c r="Q62" s="121"/>
      <c r="R62" s="121"/>
      <c r="S62" s="120"/>
      <c r="T62" s="120"/>
      <c r="U62" s="120"/>
      <c r="V62" s="120"/>
      <c r="W62" s="117"/>
      <c r="X62" s="117">
        <f t="shared" si="2"/>
        <v>0</v>
      </c>
      <c r="Y62" s="129"/>
    </row>
    <row r="63" spans="1:25" ht="31.5">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129"/>
    </row>
    <row r="64" spans="1:25" ht="15.7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8"/>
    </row>
    <row r="65" spans="1:25" ht="31.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8"/>
    </row>
    <row r="66" spans="1:25" ht="31.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8"/>
    </row>
    <row r="67" spans="1:25" ht="126">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98"/>
    </row>
    <row r="68" spans="1:25" ht="36" customHeight="1">
      <c r="A68" s="469"/>
      <c r="B68" s="478" t="s">
        <v>103</v>
      </c>
      <c r="C68" s="469"/>
      <c r="D68" s="469"/>
      <c r="E68" s="99"/>
      <c r="F68" s="102">
        <f t="shared" ref="F68:W68" si="3">SUM(F6:F67)</f>
        <v>22.97606</v>
      </c>
      <c r="G68" s="102">
        <f t="shared" si="3"/>
        <v>0</v>
      </c>
      <c r="H68" s="102">
        <f t="shared" si="3"/>
        <v>0</v>
      </c>
      <c r="I68" s="102">
        <f t="shared" si="3"/>
        <v>0</v>
      </c>
      <c r="J68" s="102">
        <f t="shared" si="3"/>
        <v>0</v>
      </c>
      <c r="K68" s="102">
        <f t="shared" si="3"/>
        <v>0</v>
      </c>
      <c r="L68" s="102">
        <f t="shared" si="3"/>
        <v>10.996</v>
      </c>
      <c r="M68" s="102">
        <f t="shared" si="3"/>
        <v>0</v>
      </c>
      <c r="N68" s="102">
        <f t="shared" si="3"/>
        <v>0</v>
      </c>
      <c r="O68" s="102">
        <f t="shared" si="3"/>
        <v>25.788199999999996</v>
      </c>
      <c r="P68" s="102">
        <f t="shared" si="3"/>
        <v>25.788199999999996</v>
      </c>
      <c r="Q68" s="102">
        <f t="shared" si="3"/>
        <v>0</v>
      </c>
      <c r="R68" s="102">
        <f t="shared" si="3"/>
        <v>45.490700000000004</v>
      </c>
      <c r="S68" s="102">
        <f t="shared" si="3"/>
        <v>0</v>
      </c>
      <c r="T68" s="102">
        <f t="shared" si="3"/>
        <v>138.94095000000002</v>
      </c>
      <c r="U68" s="102">
        <f t="shared" si="3"/>
        <v>0</v>
      </c>
      <c r="V68" s="102">
        <f t="shared" si="3"/>
        <v>0</v>
      </c>
      <c r="W68" s="102">
        <f t="shared" si="3"/>
        <v>0</v>
      </c>
      <c r="X68" s="102">
        <f t="shared" si="2"/>
        <v>244.19191000000001</v>
      </c>
      <c r="Y68" s="98"/>
    </row>
    <row r="69" spans="1:25" ht="94.5">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0.5</v>
      </c>
      <c r="W69" s="127"/>
      <c r="X69" s="117">
        <f t="shared" si="2"/>
        <v>0.5</v>
      </c>
      <c r="Y69" s="153" t="s">
        <v>369</v>
      </c>
    </row>
    <row r="70" spans="1:25" ht="189">
      <c r="A70" s="469"/>
      <c r="B70" s="476" t="s">
        <v>108</v>
      </c>
      <c r="C70" s="476" t="s">
        <v>109</v>
      </c>
      <c r="D70" s="106">
        <v>64</v>
      </c>
      <c r="E70" s="106" t="s">
        <v>110</v>
      </c>
      <c r="F70" s="120"/>
      <c r="G70" s="120"/>
      <c r="H70" s="120"/>
      <c r="I70" s="121"/>
      <c r="J70" s="125">
        <f t="shared" si="4"/>
        <v>0</v>
      </c>
      <c r="K70" s="122"/>
      <c r="L70" s="122">
        <v>0</v>
      </c>
      <c r="M70" s="120"/>
      <c r="N70" s="120"/>
      <c r="O70" s="122">
        <v>0.16</v>
      </c>
      <c r="P70" s="117">
        <f t="shared" si="5"/>
        <v>0.16</v>
      </c>
      <c r="Q70" s="166"/>
      <c r="R70" s="120">
        <v>0</v>
      </c>
      <c r="S70" s="122"/>
      <c r="T70" s="122">
        <v>1</v>
      </c>
      <c r="U70" s="136"/>
      <c r="V70" s="121">
        <v>0.25</v>
      </c>
      <c r="W70" s="117"/>
      <c r="X70" s="117">
        <f t="shared" si="2"/>
        <v>1.41</v>
      </c>
      <c r="Y70" s="98" t="s">
        <v>1051</v>
      </c>
    </row>
    <row r="71" spans="1:25" ht="315">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98" t="s">
        <v>1052</v>
      </c>
    </row>
    <row r="72" spans="1:25" ht="15.75">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20"/>
      <c r="V72" s="120"/>
      <c r="W72" s="117"/>
      <c r="X72" s="117">
        <f t="shared" si="2"/>
        <v>0.09</v>
      </c>
      <c r="Y72" s="129" t="s">
        <v>1053</v>
      </c>
    </row>
    <row r="73" spans="1:25" ht="189">
      <c r="A73" s="469"/>
      <c r="B73" s="469"/>
      <c r="C73" s="469"/>
      <c r="D73" s="106">
        <v>67</v>
      </c>
      <c r="E73" s="106" t="s">
        <v>113</v>
      </c>
      <c r="F73" s="120"/>
      <c r="G73" s="120"/>
      <c r="H73" s="120"/>
      <c r="I73" s="120"/>
      <c r="J73" s="116">
        <f t="shared" si="4"/>
        <v>0</v>
      </c>
      <c r="K73" s="120"/>
      <c r="L73" s="120">
        <v>0</v>
      </c>
      <c r="M73" s="120"/>
      <c r="N73" s="120"/>
      <c r="O73" s="122"/>
      <c r="P73" s="117">
        <f t="shared" si="5"/>
        <v>0</v>
      </c>
      <c r="Q73" s="120"/>
      <c r="R73" s="120"/>
      <c r="S73" s="121"/>
      <c r="T73" s="121">
        <v>29.33</v>
      </c>
      <c r="U73" s="121"/>
      <c r="V73" s="121">
        <v>1.5</v>
      </c>
      <c r="W73" s="117"/>
      <c r="X73" s="117">
        <f t="shared" si="2"/>
        <v>30.83</v>
      </c>
      <c r="Y73" s="98" t="s">
        <v>1073</v>
      </c>
    </row>
    <row r="74" spans="1:25" ht="31.5">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2.4900000000000002</v>
      </c>
      <c r="U74" s="121"/>
      <c r="V74" s="121">
        <v>0.7</v>
      </c>
      <c r="W74" s="117"/>
      <c r="X74" s="117">
        <f t="shared" si="2"/>
        <v>3.1900000000000004</v>
      </c>
      <c r="Y74" s="98" t="s">
        <v>1074</v>
      </c>
    </row>
    <row r="75" spans="1:25" ht="409.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40"/>
      <c r="T75" s="140">
        <f>0.6+18.94+0.947+0.32+0.284+0.095+0.4+16</f>
        <v>37.585999999999999</v>
      </c>
      <c r="U75" s="121"/>
      <c r="V75" s="138"/>
      <c r="W75" s="117"/>
      <c r="X75" s="117">
        <f t="shared" si="2"/>
        <v>37.786000000000001</v>
      </c>
      <c r="Y75" s="98" t="s">
        <v>1050</v>
      </c>
    </row>
    <row r="76" spans="1:25" ht="204.75">
      <c r="A76" s="469"/>
      <c r="B76" s="469"/>
      <c r="C76" s="469"/>
      <c r="D76" s="106">
        <v>70</v>
      </c>
      <c r="E76" s="106" t="s">
        <v>118</v>
      </c>
      <c r="F76" s="140"/>
      <c r="G76" s="138"/>
      <c r="H76" s="138"/>
      <c r="I76" s="138"/>
      <c r="J76" s="116">
        <f t="shared" si="4"/>
        <v>0</v>
      </c>
      <c r="K76" s="142"/>
      <c r="L76" s="142">
        <v>0.11</v>
      </c>
      <c r="M76" s="138"/>
      <c r="N76" s="138"/>
      <c r="O76" s="138"/>
      <c r="P76" s="116">
        <f t="shared" si="5"/>
        <v>0</v>
      </c>
      <c r="Q76" s="138"/>
      <c r="R76" s="138"/>
      <c r="S76" s="140"/>
      <c r="T76" s="140">
        <v>1.1000000000000001</v>
      </c>
      <c r="U76" s="138"/>
      <c r="V76" s="138"/>
      <c r="W76" s="117"/>
      <c r="X76" s="117">
        <f t="shared" si="2"/>
        <v>1.2100000000000002</v>
      </c>
      <c r="Y76" s="98" t="s">
        <v>927</v>
      </c>
    </row>
    <row r="77" spans="1:25" ht="15.75">
      <c r="A77" s="469"/>
      <c r="B77" s="469"/>
      <c r="C77" s="469"/>
      <c r="D77" s="106">
        <v>71</v>
      </c>
      <c r="E77" s="106" t="s">
        <v>119</v>
      </c>
      <c r="F77" s="138"/>
      <c r="G77" s="138"/>
      <c r="H77" s="138"/>
      <c r="I77" s="138"/>
      <c r="J77" s="116">
        <f t="shared" si="4"/>
        <v>0</v>
      </c>
      <c r="K77" s="138"/>
      <c r="L77" s="138"/>
      <c r="M77" s="138"/>
      <c r="N77" s="138"/>
      <c r="O77" s="138"/>
      <c r="P77" s="116">
        <f t="shared" si="5"/>
        <v>0</v>
      </c>
      <c r="Q77" s="138"/>
      <c r="R77" s="138"/>
      <c r="S77" s="138"/>
      <c r="T77" s="138"/>
      <c r="U77" s="138"/>
      <c r="V77" s="138"/>
      <c r="W77" s="117"/>
      <c r="X77" s="117">
        <f t="shared" si="2"/>
        <v>0</v>
      </c>
      <c r="Y77" s="98"/>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c r="W78" s="117"/>
      <c r="X78" s="117">
        <f t="shared" si="2"/>
        <v>0</v>
      </c>
      <c r="Y78" s="98"/>
    </row>
    <row r="79" spans="1:25" ht="409.5">
      <c r="A79" s="469"/>
      <c r="B79" s="476" t="s">
        <v>121</v>
      </c>
      <c r="C79" s="476" t="s">
        <v>122</v>
      </c>
      <c r="D79" s="106">
        <v>73</v>
      </c>
      <c r="E79" s="106" t="s">
        <v>123</v>
      </c>
      <c r="F79" s="147">
        <v>2.1</v>
      </c>
      <c r="G79" s="147"/>
      <c r="H79" s="147"/>
      <c r="I79" s="147">
        <v>0.4</v>
      </c>
      <c r="J79" s="148">
        <f t="shared" si="4"/>
        <v>0.4</v>
      </c>
      <c r="K79" s="147"/>
      <c r="L79" s="147">
        <v>1.2</v>
      </c>
      <c r="M79" s="147"/>
      <c r="N79" s="147"/>
      <c r="O79" s="147">
        <v>2.4</v>
      </c>
      <c r="P79" s="140">
        <v>2.4</v>
      </c>
      <c r="Q79" s="147"/>
      <c r="R79" s="147">
        <v>9.5</v>
      </c>
      <c r="S79" s="147"/>
      <c r="T79" s="147">
        <v>0.8</v>
      </c>
      <c r="U79" s="147"/>
      <c r="V79" s="147">
        <v>0.5</v>
      </c>
      <c r="W79" s="117"/>
      <c r="X79" s="117">
        <f t="shared" si="2"/>
        <v>16.899999999999999</v>
      </c>
      <c r="Y79" s="98" t="s">
        <v>1143</v>
      </c>
    </row>
    <row r="80" spans="1:25" ht="78.75">
      <c r="A80" s="469"/>
      <c r="B80" s="469"/>
      <c r="C80" s="469"/>
      <c r="D80" s="106">
        <v>74</v>
      </c>
      <c r="E80" s="106" t="s">
        <v>124</v>
      </c>
      <c r="F80" s="147">
        <v>58</v>
      </c>
      <c r="G80" s="147"/>
      <c r="H80" s="147"/>
      <c r="I80" s="150"/>
      <c r="J80" s="140">
        <v>0</v>
      </c>
      <c r="K80" s="150"/>
      <c r="L80" s="150">
        <v>0</v>
      </c>
      <c r="M80" s="150"/>
      <c r="N80" s="150"/>
      <c r="O80" s="150"/>
      <c r="P80" s="140">
        <v>0</v>
      </c>
      <c r="Q80" s="150"/>
      <c r="R80" s="150"/>
      <c r="S80" s="150"/>
      <c r="T80" s="150"/>
      <c r="U80" s="150"/>
      <c r="V80" s="150"/>
      <c r="W80" s="117"/>
      <c r="X80" s="117">
        <f t="shared" si="2"/>
        <v>58</v>
      </c>
      <c r="Y80" s="98" t="s">
        <v>1144</v>
      </c>
    </row>
    <row r="81" spans="1:25" ht="236.25">
      <c r="A81" s="469"/>
      <c r="B81" s="469"/>
      <c r="C81" s="469"/>
      <c r="D81" s="106">
        <v>75</v>
      </c>
      <c r="E81" s="106" t="s">
        <v>125</v>
      </c>
      <c r="F81" s="147">
        <v>1.2</v>
      </c>
      <c r="G81" s="147"/>
      <c r="H81" s="147"/>
      <c r="I81" s="150"/>
      <c r="J81" s="140">
        <v>0</v>
      </c>
      <c r="K81" s="150"/>
      <c r="L81" s="150">
        <v>0</v>
      </c>
      <c r="M81" s="150"/>
      <c r="N81" s="150"/>
      <c r="O81" s="150"/>
      <c r="P81" s="140">
        <v>0</v>
      </c>
      <c r="Q81" s="150"/>
      <c r="R81" s="150"/>
      <c r="S81" s="147"/>
      <c r="T81" s="147">
        <v>1.2</v>
      </c>
      <c r="U81" s="150"/>
      <c r="V81" s="150"/>
      <c r="W81" s="117"/>
      <c r="X81" s="117">
        <f t="shared" si="2"/>
        <v>2.4</v>
      </c>
      <c r="Y81" s="98" t="s">
        <v>1145</v>
      </c>
    </row>
    <row r="82" spans="1:25" ht="173.25">
      <c r="A82" s="469"/>
      <c r="B82" s="469"/>
      <c r="C82" s="469"/>
      <c r="D82" s="106">
        <v>76</v>
      </c>
      <c r="E82" s="106" t="s">
        <v>126</v>
      </c>
      <c r="F82" s="150">
        <v>1.5</v>
      </c>
      <c r="G82" s="150"/>
      <c r="H82" s="150"/>
      <c r="I82" s="150"/>
      <c r="J82" s="140">
        <v>0</v>
      </c>
      <c r="K82" s="150"/>
      <c r="L82" s="150">
        <v>0</v>
      </c>
      <c r="M82" s="150"/>
      <c r="N82" s="150"/>
      <c r="O82" s="147"/>
      <c r="P82" s="140">
        <v>0</v>
      </c>
      <c r="Q82" s="147"/>
      <c r="R82" s="147">
        <v>1.1000000000000001</v>
      </c>
      <c r="S82" s="150"/>
      <c r="T82" s="150"/>
      <c r="U82" s="150"/>
      <c r="V82" s="150"/>
      <c r="W82" s="117"/>
      <c r="X82" s="117">
        <f t="shared" si="2"/>
        <v>2.6</v>
      </c>
      <c r="Y82" s="98" t="s">
        <v>1146</v>
      </c>
    </row>
    <row r="83" spans="1:25" ht="330.75">
      <c r="A83" s="469"/>
      <c r="B83" s="469"/>
      <c r="C83" s="469"/>
      <c r="D83" s="106">
        <v>77</v>
      </c>
      <c r="E83" s="106" t="s">
        <v>127</v>
      </c>
      <c r="F83" s="147">
        <v>0.3</v>
      </c>
      <c r="G83" s="147"/>
      <c r="H83" s="147"/>
      <c r="I83" s="147">
        <v>0.25</v>
      </c>
      <c r="J83" s="149">
        <f>I83</f>
        <v>0.25</v>
      </c>
      <c r="K83" s="147"/>
      <c r="L83" s="147">
        <v>3.6</v>
      </c>
      <c r="M83" s="150"/>
      <c r="N83" s="150"/>
      <c r="O83" s="147">
        <v>0.8</v>
      </c>
      <c r="P83" s="149">
        <f>O83</f>
        <v>0.8</v>
      </c>
      <c r="Q83" s="147"/>
      <c r="R83" s="147"/>
      <c r="S83" s="150"/>
      <c r="T83" s="150"/>
      <c r="U83" s="147"/>
      <c r="V83" s="147">
        <v>0</v>
      </c>
      <c r="W83" s="117"/>
      <c r="X83" s="117">
        <f t="shared" si="2"/>
        <v>4.95</v>
      </c>
      <c r="Y83" s="98" t="s">
        <v>1147</v>
      </c>
    </row>
    <row r="84" spans="1:25" ht="31.5">
      <c r="A84" s="469"/>
      <c r="B84" s="469"/>
      <c r="C84" s="469"/>
      <c r="D84" s="106">
        <v>78</v>
      </c>
      <c r="E84" s="106" t="s">
        <v>128</v>
      </c>
      <c r="F84" s="150"/>
      <c r="G84" s="150"/>
      <c r="H84" s="150"/>
      <c r="I84" s="150"/>
      <c r="J84" s="116">
        <f t="shared" ref="J84:J92" si="6">H84+I84</f>
        <v>0</v>
      </c>
      <c r="K84" s="150"/>
      <c r="L84" s="150"/>
      <c r="M84" s="150"/>
      <c r="N84" s="150"/>
      <c r="O84" s="150"/>
      <c r="P84" s="116">
        <f t="shared" ref="P84:P92" si="7">N84+O84</f>
        <v>0</v>
      </c>
      <c r="Q84" s="150"/>
      <c r="R84" s="150"/>
      <c r="S84" s="150"/>
      <c r="T84" s="150"/>
      <c r="U84" s="150"/>
      <c r="V84" s="150"/>
      <c r="W84" s="117"/>
      <c r="X84" s="117">
        <f t="shared" si="2"/>
        <v>0</v>
      </c>
      <c r="Y84" s="98"/>
    </row>
    <row r="85" spans="1:25" ht="15" hidden="1" customHeight="1">
      <c r="A85" s="469"/>
      <c r="B85" s="469"/>
      <c r="C85" s="469"/>
      <c r="D85" s="106">
        <v>79</v>
      </c>
      <c r="E85" s="106" t="s">
        <v>44</v>
      </c>
      <c r="F85" s="151"/>
      <c r="G85" s="151"/>
      <c r="H85" s="151"/>
      <c r="I85" s="151"/>
      <c r="J85" s="116">
        <f t="shared" si="6"/>
        <v>0</v>
      </c>
      <c r="K85" s="151"/>
      <c r="L85" s="151"/>
      <c r="M85" s="151"/>
      <c r="N85" s="151"/>
      <c r="O85" s="151"/>
      <c r="P85" s="116">
        <f t="shared" si="7"/>
        <v>0</v>
      </c>
      <c r="Q85" s="151"/>
      <c r="R85" s="151"/>
      <c r="S85" s="151"/>
      <c r="T85" s="151"/>
      <c r="U85" s="151"/>
      <c r="V85" s="151"/>
      <c r="W85" s="117"/>
      <c r="X85" s="117">
        <f t="shared" si="2"/>
        <v>0</v>
      </c>
      <c r="Y85" s="98"/>
    </row>
    <row r="86" spans="1:25" ht="15.75">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8"/>
    </row>
    <row r="87" spans="1:25" ht="31.5">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c r="U87" s="120"/>
      <c r="V87" s="120"/>
      <c r="W87" s="117"/>
      <c r="X87" s="117">
        <f t="shared" si="2"/>
        <v>0</v>
      </c>
      <c r="Y87" s="98"/>
    </row>
    <row r="88" spans="1:25" ht="47.25">
      <c r="A88" s="469"/>
      <c r="B88" s="469"/>
      <c r="C88" s="469"/>
      <c r="D88" s="106">
        <v>82</v>
      </c>
      <c r="E88" s="223" t="s">
        <v>133</v>
      </c>
      <c r="F88" s="120"/>
      <c r="G88" s="120"/>
      <c r="H88" s="120"/>
      <c r="I88" s="120"/>
      <c r="J88" s="116">
        <f t="shared" si="6"/>
        <v>0</v>
      </c>
      <c r="K88" s="120"/>
      <c r="L88" s="120"/>
      <c r="M88" s="120"/>
      <c r="N88" s="120"/>
      <c r="O88" s="120"/>
      <c r="P88" s="116">
        <f t="shared" si="7"/>
        <v>0</v>
      </c>
      <c r="Q88" s="120"/>
      <c r="R88" s="120"/>
      <c r="S88" s="121"/>
      <c r="T88" s="121">
        <v>0.08</v>
      </c>
      <c r="U88" s="120"/>
      <c r="V88" s="120"/>
      <c r="W88" s="117"/>
      <c r="X88" s="117">
        <f t="shared" si="2"/>
        <v>0.08</v>
      </c>
      <c r="Y88" s="153" t="s">
        <v>959</v>
      </c>
    </row>
    <row r="89" spans="1:25" ht="48.75" customHeight="1">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c r="U89" s="120"/>
      <c r="V89" s="120"/>
      <c r="W89" s="117"/>
      <c r="X89" s="117">
        <f t="shared" si="2"/>
        <v>0.5</v>
      </c>
      <c r="Y89" s="98" t="s">
        <v>956</v>
      </c>
    </row>
    <row r="90" spans="1:25" ht="78.75">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c r="W90" s="117"/>
      <c r="X90" s="117">
        <f t="shared" si="2"/>
        <v>0</v>
      </c>
      <c r="Y90" s="98"/>
    </row>
    <row r="91" spans="1:25" ht="110.2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8"/>
    </row>
    <row r="92" spans="1:25" ht="94.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8"/>
    </row>
    <row r="93" spans="1:25" ht="45" customHeight="1">
      <c r="A93" s="469"/>
      <c r="B93" s="476" t="s">
        <v>143</v>
      </c>
      <c r="C93" s="469"/>
      <c r="D93" s="469"/>
      <c r="E93" s="106"/>
      <c r="F93" s="102">
        <f t="shared" ref="F93:W93" si="8">SUM(F69:F92)</f>
        <v>63.1</v>
      </c>
      <c r="G93" s="102">
        <f t="shared" si="8"/>
        <v>0</v>
      </c>
      <c r="H93" s="102">
        <f t="shared" si="8"/>
        <v>0</v>
      </c>
      <c r="I93" s="102">
        <f t="shared" si="8"/>
        <v>0.65</v>
      </c>
      <c r="J93" s="102">
        <f t="shared" si="8"/>
        <v>0.65</v>
      </c>
      <c r="K93" s="102">
        <f t="shared" si="8"/>
        <v>0</v>
      </c>
      <c r="L93" s="102">
        <f t="shared" si="8"/>
        <v>4.91</v>
      </c>
      <c r="M93" s="102">
        <f t="shared" si="8"/>
        <v>0</v>
      </c>
      <c r="N93" s="102">
        <f t="shared" si="8"/>
        <v>0</v>
      </c>
      <c r="O93" s="102">
        <f t="shared" si="8"/>
        <v>3.8600000000000003</v>
      </c>
      <c r="P93" s="102">
        <f t="shared" si="8"/>
        <v>3.8600000000000003</v>
      </c>
      <c r="Q93" s="102">
        <f t="shared" si="8"/>
        <v>0</v>
      </c>
      <c r="R93" s="102">
        <f t="shared" si="8"/>
        <v>10.799999999999999</v>
      </c>
      <c r="S93" s="102">
        <f t="shared" si="8"/>
        <v>0</v>
      </c>
      <c r="T93" s="102">
        <f t="shared" si="8"/>
        <v>73.925999999999988</v>
      </c>
      <c r="U93" s="102">
        <f t="shared" si="8"/>
        <v>0</v>
      </c>
      <c r="V93" s="102">
        <f t="shared" si="8"/>
        <v>3.45</v>
      </c>
      <c r="W93" s="102">
        <f t="shared" si="8"/>
        <v>0</v>
      </c>
      <c r="X93" s="102">
        <f t="shared" si="2"/>
        <v>160.69599999999997</v>
      </c>
      <c r="Y93" s="387"/>
    </row>
    <row r="94" spans="1:25" ht="110.25">
      <c r="A94" s="477" t="s">
        <v>144</v>
      </c>
      <c r="B94" s="476" t="s">
        <v>145</v>
      </c>
      <c r="C94" s="476" t="s">
        <v>146</v>
      </c>
      <c r="D94" s="106">
        <v>87</v>
      </c>
      <c r="E94" s="106" t="s">
        <v>147</v>
      </c>
      <c r="F94" s="155"/>
      <c r="G94" s="155"/>
      <c r="H94" s="155"/>
      <c r="I94" s="155"/>
      <c r="J94" s="116">
        <f t="shared" ref="J94:J133" si="9">H94+I94</f>
        <v>0</v>
      </c>
      <c r="K94" s="155"/>
      <c r="L94" s="155"/>
      <c r="M94" s="155"/>
      <c r="N94" s="155"/>
      <c r="O94" s="122">
        <v>10</v>
      </c>
      <c r="P94" s="117">
        <f t="shared" ref="P94:P133" si="10">N94+O94</f>
        <v>10</v>
      </c>
      <c r="Q94" s="155"/>
      <c r="R94" s="155"/>
      <c r="S94" s="155"/>
      <c r="T94" s="155"/>
      <c r="U94" s="155"/>
      <c r="V94" s="155"/>
      <c r="W94" s="117"/>
      <c r="X94" s="117">
        <f t="shared" si="2"/>
        <v>10</v>
      </c>
      <c r="Y94" s="156" t="s">
        <v>627</v>
      </c>
    </row>
    <row r="95" spans="1:25" ht="47.25">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v>6</v>
      </c>
      <c r="U95" s="155"/>
      <c r="V95" s="155"/>
      <c r="W95" s="117"/>
      <c r="X95" s="117">
        <f t="shared" si="2"/>
        <v>6</v>
      </c>
      <c r="Y95" s="156" t="s">
        <v>1161</v>
      </c>
    </row>
    <row r="96" spans="1:25" ht="47.2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156"/>
    </row>
    <row r="97" spans="1:25" ht="47.25">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156"/>
    </row>
    <row r="98" spans="1:25" ht="31.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160"/>
    </row>
    <row r="99" spans="1:25" ht="47.2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c r="U99" s="155"/>
      <c r="V99" s="155"/>
      <c r="W99" s="117"/>
      <c r="X99" s="117">
        <f t="shared" si="2"/>
        <v>0</v>
      </c>
      <c r="Y99" s="160"/>
    </row>
    <row r="100" spans="1:25" ht="78.75">
      <c r="A100" s="469"/>
      <c r="B100" s="469"/>
      <c r="C100" s="469"/>
      <c r="D100" s="106">
        <v>93</v>
      </c>
      <c r="E100" s="106" t="s">
        <v>153</v>
      </c>
      <c r="F100" s="155"/>
      <c r="G100" s="155"/>
      <c r="H100" s="155"/>
      <c r="I100" s="155"/>
      <c r="J100" s="116">
        <f t="shared" si="9"/>
        <v>0</v>
      </c>
      <c r="K100" s="158"/>
      <c r="L100" s="158">
        <v>4.4000000000000004</v>
      </c>
      <c r="M100" s="155"/>
      <c r="N100" s="155"/>
      <c r="O100" s="155"/>
      <c r="P100" s="116">
        <f t="shared" si="10"/>
        <v>0</v>
      </c>
      <c r="Q100" s="155"/>
      <c r="R100" s="155"/>
      <c r="S100" s="155"/>
      <c r="T100" s="155"/>
      <c r="U100" s="155"/>
      <c r="V100" s="155"/>
      <c r="W100" s="117"/>
      <c r="X100" s="117">
        <f t="shared" si="2"/>
        <v>4.4000000000000004</v>
      </c>
      <c r="Y100" s="160" t="s">
        <v>628</v>
      </c>
    </row>
    <row r="101" spans="1:25" ht="78.75">
      <c r="A101" s="469"/>
      <c r="B101" s="469"/>
      <c r="C101" s="469"/>
      <c r="D101" s="106">
        <v>94</v>
      </c>
      <c r="E101" s="106" t="s">
        <v>154</v>
      </c>
      <c r="F101" s="155"/>
      <c r="G101" s="155"/>
      <c r="H101" s="155"/>
      <c r="I101" s="155"/>
      <c r="J101" s="116">
        <f t="shared" si="9"/>
        <v>0</v>
      </c>
      <c r="K101" s="158"/>
      <c r="L101" s="158">
        <v>4.4000000000000004</v>
      </c>
      <c r="M101" s="155"/>
      <c r="N101" s="155"/>
      <c r="O101" s="155"/>
      <c r="P101" s="116">
        <f t="shared" si="10"/>
        <v>0</v>
      </c>
      <c r="Q101" s="155"/>
      <c r="R101" s="155"/>
      <c r="S101" s="155"/>
      <c r="T101" s="155"/>
      <c r="U101" s="155"/>
      <c r="V101" s="155"/>
      <c r="W101" s="117"/>
      <c r="X101" s="117">
        <f t="shared" si="2"/>
        <v>4.4000000000000004</v>
      </c>
      <c r="Y101" s="160" t="s">
        <v>629</v>
      </c>
    </row>
    <row r="102" spans="1:25" ht="63">
      <c r="A102" s="469"/>
      <c r="B102" s="469"/>
      <c r="C102" s="469"/>
      <c r="D102" s="106">
        <v>95</v>
      </c>
      <c r="E102" s="106" t="s">
        <v>155</v>
      </c>
      <c r="F102" s="155"/>
      <c r="G102" s="155"/>
      <c r="H102" s="155"/>
      <c r="I102" s="158"/>
      <c r="J102" s="125">
        <f t="shared" si="9"/>
        <v>0</v>
      </c>
      <c r="K102" s="122"/>
      <c r="L102" s="122"/>
      <c r="M102" s="155"/>
      <c r="N102" s="155"/>
      <c r="O102" s="155"/>
      <c r="P102" s="116">
        <f t="shared" si="10"/>
        <v>0</v>
      </c>
      <c r="Q102" s="155"/>
      <c r="R102" s="155"/>
      <c r="S102" s="155"/>
      <c r="T102" s="155"/>
      <c r="U102" s="155"/>
      <c r="V102" s="155"/>
      <c r="W102" s="117"/>
      <c r="X102" s="117">
        <f t="shared" si="2"/>
        <v>0</v>
      </c>
      <c r="Y102" s="98"/>
    </row>
    <row r="103" spans="1:25" ht="47.25">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1</v>
      </c>
      <c r="U103" s="155"/>
      <c r="V103" s="155"/>
      <c r="W103" s="117"/>
      <c r="X103" s="117">
        <f t="shared" si="2"/>
        <v>1</v>
      </c>
      <c r="Y103" s="98" t="s">
        <v>157</v>
      </c>
    </row>
    <row r="104" spans="1:25" ht="110.25">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11</v>
      </c>
      <c r="U104" s="140"/>
      <c r="V104" s="140"/>
      <c r="W104" s="117"/>
      <c r="X104" s="117">
        <f t="shared" si="2"/>
        <v>11</v>
      </c>
      <c r="Y104" s="98" t="s">
        <v>642</v>
      </c>
    </row>
    <row r="105" spans="1:25" ht="78.75">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8" t="s">
        <v>631</v>
      </c>
    </row>
    <row r="106" spans="1:25" ht="15.7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129"/>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129"/>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129"/>
    </row>
    <row r="109" spans="1:25" ht="94.5">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1</v>
      </c>
      <c r="U109" s="278"/>
      <c r="V109" s="140"/>
      <c r="W109" s="117"/>
      <c r="X109" s="117">
        <f t="shared" si="2"/>
        <v>1</v>
      </c>
      <c r="Y109" s="98" t="s">
        <v>662</v>
      </c>
    </row>
    <row r="110" spans="1:25" ht="31.5" hidden="1">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98"/>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98"/>
    </row>
    <row r="112" spans="1:25" ht="15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8" t="s">
        <v>633</v>
      </c>
    </row>
    <row r="113" spans="1:25" ht="15.7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98"/>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98"/>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98"/>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129"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8"/>
    </row>
    <row r="118" spans="1:25" ht="31.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129"/>
    </row>
    <row r="119" spans="1:25" ht="15.7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129"/>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129"/>
    </row>
    <row r="121" spans="1:25" ht="141.75">
      <c r="A121" s="469"/>
      <c r="B121" s="106" t="s">
        <v>183</v>
      </c>
      <c r="C121" s="106" t="s">
        <v>184</v>
      </c>
      <c r="D121" s="106">
        <v>114</v>
      </c>
      <c r="E121" s="106" t="s">
        <v>185</v>
      </c>
      <c r="F121" s="140"/>
      <c r="G121" s="140"/>
      <c r="H121" s="140"/>
      <c r="I121" s="161">
        <v>6</v>
      </c>
      <c r="J121" s="125">
        <f t="shared" si="9"/>
        <v>6</v>
      </c>
      <c r="K121" s="140"/>
      <c r="L121" s="140">
        <v>0.5</v>
      </c>
      <c r="M121" s="140"/>
      <c r="N121" s="140"/>
      <c r="O121" s="140"/>
      <c r="P121" s="116">
        <f t="shared" si="10"/>
        <v>0</v>
      </c>
      <c r="Q121" s="140"/>
      <c r="R121" s="140"/>
      <c r="S121" s="140"/>
      <c r="T121" s="140">
        <v>2.5</v>
      </c>
      <c r="U121" s="161"/>
      <c r="V121" s="161"/>
      <c r="W121" s="117"/>
      <c r="X121" s="117">
        <f t="shared" si="2"/>
        <v>9</v>
      </c>
      <c r="Y121" s="98"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98" t="s">
        <v>636</v>
      </c>
    </row>
    <row r="123" spans="1:25" ht="47.2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4.2</v>
      </c>
      <c r="S123" s="140"/>
      <c r="T123" s="140"/>
      <c r="U123" s="140"/>
      <c r="V123" s="140"/>
      <c r="W123" s="117"/>
      <c r="X123" s="117">
        <f t="shared" si="2"/>
        <v>4.2</v>
      </c>
      <c r="Y123" s="98" t="s">
        <v>645</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8"/>
    </row>
    <row r="125" spans="1:25" ht="31.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8"/>
    </row>
    <row r="126" spans="1:25" ht="94.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61">
        <v>5</v>
      </c>
      <c r="U126" s="140"/>
      <c r="V126" s="140"/>
      <c r="W126" s="117"/>
      <c r="X126" s="117">
        <f t="shared" si="2"/>
        <v>5</v>
      </c>
      <c r="Y126" s="98" t="s">
        <v>638</v>
      </c>
    </row>
    <row r="127" spans="1:25" ht="126">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161"/>
      <c r="S127" s="161"/>
      <c r="T127" s="161"/>
      <c r="U127" s="140"/>
      <c r="V127" s="140"/>
      <c r="W127" s="117"/>
      <c r="X127" s="117">
        <f t="shared" si="2"/>
        <v>0</v>
      </c>
      <c r="Y127" s="98"/>
    </row>
    <row r="128" spans="1:25" ht="15.7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140"/>
      <c r="S128" s="140"/>
      <c r="T128" s="140"/>
      <c r="U128" s="140"/>
      <c r="V128" s="140"/>
      <c r="W128" s="117"/>
      <c r="X128" s="117">
        <f t="shared" si="2"/>
        <v>0</v>
      </c>
      <c r="Y128" s="98"/>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98"/>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98"/>
    </row>
    <row r="131" spans="1:25" ht="15.7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129"/>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129"/>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8"/>
    </row>
    <row r="134" spans="1:25" ht="26.25" customHeight="1">
      <c r="A134" s="469"/>
      <c r="B134" s="476" t="s">
        <v>208</v>
      </c>
      <c r="C134" s="469"/>
      <c r="D134" s="469"/>
      <c r="E134" s="106"/>
      <c r="F134" s="100">
        <f t="shared" ref="F134:W134" si="11">SUM(F94:F133)</f>
        <v>0</v>
      </c>
      <c r="G134" s="100">
        <f t="shared" si="11"/>
        <v>0</v>
      </c>
      <c r="H134" s="100">
        <f t="shared" si="11"/>
        <v>0</v>
      </c>
      <c r="I134" s="100">
        <f t="shared" si="11"/>
        <v>6</v>
      </c>
      <c r="J134" s="100">
        <f t="shared" si="11"/>
        <v>6</v>
      </c>
      <c r="K134" s="100">
        <f t="shared" si="11"/>
        <v>0</v>
      </c>
      <c r="L134" s="100">
        <f t="shared" si="11"/>
        <v>10.3</v>
      </c>
      <c r="M134" s="100">
        <f t="shared" si="11"/>
        <v>0</v>
      </c>
      <c r="N134" s="100">
        <f t="shared" si="11"/>
        <v>0</v>
      </c>
      <c r="O134" s="102">
        <f t="shared" si="11"/>
        <v>10</v>
      </c>
      <c r="P134" s="102">
        <f t="shared" si="11"/>
        <v>10</v>
      </c>
      <c r="Q134" s="100">
        <f t="shared" si="11"/>
        <v>0</v>
      </c>
      <c r="R134" s="100">
        <f t="shared" si="11"/>
        <v>4.2</v>
      </c>
      <c r="S134" s="100">
        <f t="shared" si="11"/>
        <v>0</v>
      </c>
      <c r="T134" s="100">
        <f t="shared" si="11"/>
        <v>30.36</v>
      </c>
      <c r="U134" s="100">
        <f t="shared" si="11"/>
        <v>0</v>
      </c>
      <c r="V134" s="100">
        <f t="shared" si="11"/>
        <v>0</v>
      </c>
      <c r="W134" s="102">
        <f t="shared" si="11"/>
        <v>0</v>
      </c>
      <c r="X134" s="100">
        <f t="shared" si="2"/>
        <v>60.86</v>
      </c>
      <c r="Y134" s="107"/>
    </row>
    <row r="135" spans="1:25" ht="63">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120"/>
      <c r="U135" s="120"/>
      <c r="V135" s="120"/>
      <c r="W135" s="117"/>
      <c r="X135" s="117">
        <f t="shared" si="2"/>
        <v>0</v>
      </c>
      <c r="Y135" s="98"/>
    </row>
    <row r="136" spans="1:25" ht="39" customHeight="1">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163"/>
      <c r="U136" s="120"/>
      <c r="V136" s="120"/>
      <c r="W136" s="117"/>
      <c r="X136" s="117">
        <f t="shared" si="2"/>
        <v>0</v>
      </c>
      <c r="Y136" s="98"/>
    </row>
    <row r="137" spans="1:25" ht="31.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120"/>
      <c r="U137" s="120"/>
      <c r="V137" s="120"/>
      <c r="W137" s="117"/>
      <c r="X137" s="117">
        <f t="shared" si="2"/>
        <v>0</v>
      </c>
      <c r="Y137" s="98"/>
    </row>
    <row r="138" spans="1:25" ht="47.25">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120"/>
      <c r="U138" s="120"/>
      <c r="V138" s="120"/>
      <c r="W138" s="117"/>
      <c r="X138" s="117">
        <f t="shared" si="2"/>
        <v>0</v>
      </c>
      <c r="Y138" s="98"/>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98"/>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120"/>
      <c r="U140" s="120"/>
      <c r="V140" s="120"/>
      <c r="W140" s="117"/>
      <c r="X140" s="117">
        <f t="shared" si="2"/>
        <v>0</v>
      </c>
      <c r="Y140" s="98"/>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120"/>
      <c r="U141" s="120"/>
      <c r="V141" s="120"/>
      <c r="W141" s="117"/>
      <c r="X141" s="117">
        <f t="shared" si="2"/>
        <v>0</v>
      </c>
      <c r="Y141" s="98"/>
    </row>
    <row r="142" spans="1:25" ht="110.25">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(3*0.025*12)</f>
        <v>0.90000000000000013</v>
      </c>
      <c r="U142" s="120"/>
      <c r="V142" s="120"/>
      <c r="W142" s="117"/>
      <c r="X142" s="117">
        <f t="shared" si="2"/>
        <v>0.90000000000000013</v>
      </c>
      <c r="Y142" s="164" t="s">
        <v>668</v>
      </c>
    </row>
    <row r="143" spans="1:25" ht="31.5">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120"/>
      <c r="U143" s="120"/>
      <c r="V143" s="120"/>
      <c r="W143" s="117"/>
      <c r="X143" s="117">
        <f t="shared" si="2"/>
        <v>0</v>
      </c>
      <c r="Y143" s="98"/>
    </row>
    <row r="144" spans="1:25" ht="47.25">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122"/>
      <c r="U144" s="120"/>
      <c r="V144" s="120"/>
      <c r="W144" s="117"/>
      <c r="X144" s="117">
        <f t="shared" si="2"/>
        <v>0</v>
      </c>
      <c r="Y144" s="98"/>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22"/>
      <c r="U145" s="120"/>
      <c r="V145" s="120"/>
      <c r="W145" s="117"/>
      <c r="X145" s="117">
        <f t="shared" si="2"/>
        <v>0</v>
      </c>
      <c r="Y145" s="98"/>
    </row>
    <row r="146" spans="1:25" ht="31.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120"/>
      <c r="U146" s="120"/>
      <c r="V146" s="120"/>
      <c r="W146" s="117"/>
      <c r="X146" s="117">
        <f t="shared" si="2"/>
        <v>0</v>
      </c>
      <c r="Y146" s="98"/>
    </row>
    <row r="147" spans="1:25" ht="63">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v>0.5</v>
      </c>
      <c r="U147" s="120"/>
      <c r="V147" s="120"/>
      <c r="W147" s="117"/>
      <c r="X147" s="117">
        <f t="shared" si="2"/>
        <v>0.5</v>
      </c>
      <c r="Y147" s="98" t="s">
        <v>669</v>
      </c>
    </row>
    <row r="148" spans="1:25" ht="15.75">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22">
        <v>0.4</v>
      </c>
      <c r="U148" s="120"/>
      <c r="V148" s="120"/>
      <c r="W148" s="117"/>
      <c r="X148" s="117">
        <f t="shared" si="2"/>
        <v>0.4</v>
      </c>
      <c r="Y148" s="129" t="s">
        <v>670</v>
      </c>
    </row>
    <row r="149" spans="1:25" ht="15.75" hidden="1">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20"/>
      <c r="U149" s="120"/>
      <c r="V149" s="120"/>
      <c r="W149" s="117"/>
      <c r="X149" s="117">
        <f t="shared" si="2"/>
        <v>0</v>
      </c>
      <c r="Y149" s="98"/>
    </row>
    <row r="150" spans="1:25" ht="63">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150">
        <v>493.48599999999999</v>
      </c>
      <c r="U150" s="120"/>
      <c r="V150" s="120"/>
      <c r="W150" s="117"/>
      <c r="X150" s="117">
        <f t="shared" si="2"/>
        <v>493.48599999999999</v>
      </c>
      <c r="Y150" s="98" t="s">
        <v>671</v>
      </c>
    </row>
    <row r="151" spans="1:25" ht="47.25">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120"/>
      <c r="U151" s="120"/>
      <c r="V151" s="120"/>
      <c r="W151" s="117"/>
      <c r="X151" s="117">
        <f t="shared" si="2"/>
        <v>0</v>
      </c>
      <c r="Y151" s="98"/>
    </row>
    <row r="152" spans="1:25" ht="15.75">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120"/>
      <c r="U152" s="120"/>
      <c r="V152" s="120"/>
      <c r="W152" s="117"/>
      <c r="X152" s="117">
        <f t="shared" si="2"/>
        <v>0</v>
      </c>
      <c r="Y152" s="98"/>
    </row>
    <row r="153" spans="1:25" ht="47.25">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120"/>
      <c r="U153" s="120"/>
      <c r="V153" s="120"/>
      <c r="W153" s="117"/>
      <c r="X153" s="117">
        <f t="shared" si="2"/>
        <v>0</v>
      </c>
      <c r="Y153" s="98"/>
    </row>
    <row r="154" spans="1:25" ht="110.25">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120">
        <f>(0.4*12)+(12*0.1)</f>
        <v>6.0000000000000009</v>
      </c>
      <c r="U154" s="120"/>
      <c r="V154" s="120"/>
      <c r="W154" s="117"/>
      <c r="X154" s="117">
        <f t="shared" si="2"/>
        <v>6.0000000000000009</v>
      </c>
      <c r="Y154" s="389" t="s">
        <v>672</v>
      </c>
    </row>
    <row r="155" spans="1:25" ht="31.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120"/>
      <c r="U155" s="120"/>
      <c r="V155" s="120"/>
      <c r="W155" s="117"/>
      <c r="X155" s="117">
        <f t="shared" si="2"/>
        <v>0</v>
      </c>
      <c r="Y155" s="98"/>
    </row>
    <row r="156" spans="1:25" ht="63"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98"/>
    </row>
    <row r="157" spans="1:25" ht="94.5">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122">
        <f>(49*0.03)</f>
        <v>1.47</v>
      </c>
      <c r="U157" s="151"/>
      <c r="V157" s="151"/>
      <c r="W157" s="117"/>
      <c r="X157" s="117">
        <f t="shared" si="2"/>
        <v>1.47</v>
      </c>
      <c r="Y157" s="98" t="s">
        <v>673</v>
      </c>
    </row>
    <row r="158" spans="1:25" ht="56.25" customHeight="1">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0">
        <f t="shared" si="14"/>
        <v>502.75600000000003</v>
      </c>
      <c r="U158" s="100">
        <f t="shared" si="14"/>
        <v>0</v>
      </c>
      <c r="V158" s="100">
        <f t="shared" si="14"/>
        <v>0</v>
      </c>
      <c r="W158" s="102">
        <f t="shared" si="14"/>
        <v>0</v>
      </c>
      <c r="X158" s="100">
        <f t="shared" si="2"/>
        <v>502.75600000000003</v>
      </c>
      <c r="Y158" s="107"/>
    </row>
    <row r="159" spans="1:25" ht="78.75">
      <c r="A159" s="477" t="s">
        <v>252</v>
      </c>
      <c r="B159" s="476" t="s">
        <v>253</v>
      </c>
      <c r="C159" s="476" t="s">
        <v>211</v>
      </c>
      <c r="D159" s="106">
        <v>150</v>
      </c>
      <c r="E159" s="106" t="s">
        <v>239</v>
      </c>
      <c r="F159" s="120"/>
      <c r="G159" s="121"/>
      <c r="H159" s="121">
        <v>210</v>
      </c>
      <c r="I159" s="121"/>
      <c r="J159" s="125">
        <f t="shared" ref="J159:J215" si="15">H159+I159</f>
        <v>210</v>
      </c>
      <c r="K159" s="120"/>
      <c r="L159" s="120"/>
      <c r="M159" s="120"/>
      <c r="N159" s="120"/>
      <c r="O159" s="120"/>
      <c r="P159" s="116">
        <f t="shared" ref="P159:P215" si="16">N159+O159</f>
        <v>0</v>
      </c>
      <c r="Q159" s="120"/>
      <c r="R159" s="120"/>
      <c r="S159" s="121"/>
      <c r="T159" s="121">
        <v>1</v>
      </c>
      <c r="U159" s="106"/>
      <c r="V159" s="120"/>
      <c r="W159" s="117"/>
      <c r="X159" s="117">
        <f t="shared" si="2"/>
        <v>211</v>
      </c>
      <c r="Y159" s="98" t="s">
        <v>1031</v>
      </c>
    </row>
    <row r="160" spans="1:25" ht="31.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20"/>
      <c r="S160" s="121"/>
      <c r="T160" s="121"/>
      <c r="U160" s="116"/>
      <c r="V160" s="120"/>
      <c r="W160" s="117"/>
      <c r="X160" s="117">
        <f t="shared" si="2"/>
        <v>0</v>
      </c>
      <c r="Y160" s="98"/>
    </row>
    <row r="161" spans="1:25" ht="72.75" customHeight="1">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20"/>
      <c r="S161" s="121"/>
      <c r="T161" s="98">
        <f>247 * 3600/100000</f>
        <v>8.8919999999999995</v>
      </c>
      <c r="U161" s="120"/>
      <c r="V161" s="120"/>
      <c r="W161" s="117"/>
      <c r="X161" s="117">
        <f t="shared" si="2"/>
        <v>8.8919999999999995</v>
      </c>
      <c r="Y161" s="98" t="s">
        <v>1032</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51"/>
      <c r="S162" s="151"/>
      <c r="T162" s="151"/>
      <c r="U162" s="151"/>
      <c r="V162" s="151"/>
      <c r="W162" s="117"/>
      <c r="X162" s="117">
        <f t="shared" si="2"/>
        <v>0</v>
      </c>
      <c r="Y162" s="98"/>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22"/>
      <c r="S163" s="120"/>
      <c r="T163" s="120"/>
      <c r="U163" s="120"/>
      <c r="V163" s="120"/>
      <c r="W163" s="117"/>
      <c r="X163" s="117">
        <f t="shared" si="2"/>
        <v>0</v>
      </c>
      <c r="Y163" s="98"/>
    </row>
    <row r="164" spans="1:25" ht="31.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20"/>
      <c r="S164" s="121"/>
      <c r="T164" s="121"/>
      <c r="U164" s="120"/>
      <c r="V164" s="120"/>
      <c r="W164" s="117"/>
      <c r="X164" s="117">
        <f t="shared" si="2"/>
        <v>0</v>
      </c>
      <c r="Y164" s="98"/>
    </row>
    <row r="165" spans="1:25" ht="44.25" customHeight="1">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20"/>
      <c r="S165" s="121"/>
      <c r="T165" s="121">
        <v>1</v>
      </c>
      <c r="U165" s="166"/>
      <c r="V165" s="120"/>
      <c r="W165" s="117"/>
      <c r="X165" s="117">
        <f t="shared" si="2"/>
        <v>1</v>
      </c>
      <c r="Y165" s="98" t="s">
        <v>817</v>
      </c>
    </row>
    <row r="166" spans="1:25" ht="31.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20"/>
      <c r="S166" s="120"/>
      <c r="T166" s="120"/>
      <c r="U166" s="120"/>
      <c r="V166" s="120"/>
      <c r="W166" s="117"/>
      <c r="X166" s="117">
        <f t="shared" si="2"/>
        <v>0</v>
      </c>
      <c r="Y166" s="98"/>
    </row>
    <row r="167" spans="1:25" ht="31.5">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20"/>
      <c r="S167" s="120"/>
      <c r="T167" s="120"/>
      <c r="U167" s="120"/>
      <c r="V167" s="120"/>
      <c r="W167" s="117"/>
      <c r="X167" s="117">
        <f t="shared" si="2"/>
        <v>0</v>
      </c>
      <c r="Y167" s="98"/>
    </row>
    <row r="168" spans="1:25" ht="94.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20"/>
      <c r="S168" s="121"/>
      <c r="T168" s="139">
        <v>22.788</v>
      </c>
      <c r="U168" s="116"/>
      <c r="V168" s="120"/>
      <c r="W168" s="117"/>
      <c r="X168" s="117">
        <f t="shared" si="2"/>
        <v>22.788</v>
      </c>
      <c r="Y168" s="98" t="s">
        <v>1006</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20"/>
      <c r="S169" s="120"/>
      <c r="T169" s="120"/>
      <c r="U169" s="120"/>
      <c r="V169" s="120"/>
      <c r="W169" s="117"/>
      <c r="X169" s="117">
        <f t="shared" si="2"/>
        <v>0</v>
      </c>
      <c r="Y169" s="129"/>
    </row>
    <row r="170" spans="1:25" ht="15.75">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20"/>
      <c r="S170" s="120"/>
      <c r="T170" s="120"/>
      <c r="U170" s="120"/>
      <c r="V170" s="120"/>
      <c r="W170" s="117"/>
      <c r="X170" s="117">
        <f t="shared" si="2"/>
        <v>0</v>
      </c>
      <c r="Y170" s="98"/>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20"/>
      <c r="S171" s="120"/>
      <c r="T171" s="120"/>
      <c r="U171" s="120"/>
      <c r="V171" s="120"/>
      <c r="W171" s="117"/>
      <c r="X171" s="117">
        <f t="shared" si="2"/>
        <v>0</v>
      </c>
      <c r="Y171" s="98"/>
    </row>
    <row r="172" spans="1:25" ht="47.25">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20"/>
      <c r="S172" s="121"/>
      <c r="T172" s="121"/>
      <c r="U172" s="120"/>
      <c r="V172" s="120"/>
      <c r="W172" s="117"/>
      <c r="X172" s="117">
        <f t="shared" si="2"/>
        <v>0</v>
      </c>
      <c r="Y172" s="98"/>
    </row>
    <row r="173" spans="1:25" ht="15.7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20"/>
      <c r="S173" s="120"/>
      <c r="T173" s="120"/>
      <c r="U173" s="120"/>
      <c r="V173" s="120"/>
      <c r="W173" s="117"/>
      <c r="X173" s="117">
        <f t="shared" si="2"/>
        <v>0</v>
      </c>
      <c r="Y173" s="98"/>
    </row>
    <row r="174" spans="1:25" ht="15.7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20"/>
      <c r="S174" s="120"/>
      <c r="T174" s="120"/>
      <c r="U174" s="120"/>
      <c r="V174" s="120"/>
      <c r="W174" s="117"/>
      <c r="X174" s="117">
        <f t="shared" si="2"/>
        <v>0</v>
      </c>
      <c r="Y174" s="98"/>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20"/>
      <c r="S175" s="120"/>
      <c r="T175" s="120"/>
      <c r="U175" s="120"/>
      <c r="V175" s="120"/>
      <c r="W175" s="117"/>
      <c r="X175" s="117">
        <f t="shared" si="2"/>
        <v>0</v>
      </c>
      <c r="Y175" s="98"/>
    </row>
    <row r="176" spans="1:25" ht="15.7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20"/>
      <c r="S176" s="120"/>
      <c r="T176" s="120"/>
      <c r="U176" s="120"/>
      <c r="V176" s="120"/>
      <c r="W176" s="117"/>
      <c r="X176" s="117">
        <f t="shared" si="2"/>
        <v>0</v>
      </c>
      <c r="Y176" s="98"/>
    </row>
    <row r="177" spans="1:25" ht="15.7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20"/>
      <c r="S177" s="120"/>
      <c r="T177" s="120"/>
      <c r="U177" s="120"/>
      <c r="V177" s="120"/>
      <c r="W177" s="117"/>
      <c r="X177" s="117">
        <f t="shared" si="2"/>
        <v>0</v>
      </c>
      <c r="Y177" s="98"/>
    </row>
    <row r="178" spans="1:25" ht="47.25">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20"/>
      <c r="S178" s="120"/>
      <c r="T178" s="120"/>
      <c r="U178" s="120"/>
      <c r="V178" s="120"/>
      <c r="W178" s="117"/>
      <c r="X178" s="117">
        <f t="shared" si="2"/>
        <v>0</v>
      </c>
      <c r="Y178" s="98"/>
    </row>
    <row r="179" spans="1:25" ht="63">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20"/>
      <c r="S179" s="120"/>
      <c r="T179" s="120"/>
      <c r="U179" s="120"/>
      <c r="V179" s="120"/>
      <c r="W179" s="117"/>
      <c r="X179" s="117">
        <f t="shared" si="2"/>
        <v>0</v>
      </c>
      <c r="Y179" s="98"/>
    </row>
    <row r="180" spans="1:25" ht="31.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20"/>
      <c r="S180" s="120"/>
      <c r="T180" s="120"/>
      <c r="U180" s="120"/>
      <c r="V180" s="120"/>
      <c r="W180" s="117"/>
      <c r="X180" s="117">
        <f t="shared" si="2"/>
        <v>0</v>
      </c>
      <c r="Y180" s="98"/>
    </row>
    <row r="181" spans="1:25" ht="31.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20"/>
      <c r="S181" s="122"/>
      <c r="T181" s="122"/>
      <c r="U181" s="120"/>
      <c r="V181" s="120"/>
      <c r="W181" s="117"/>
      <c r="X181" s="117">
        <f t="shared" si="2"/>
        <v>0</v>
      </c>
      <c r="Y181" s="98"/>
    </row>
    <row r="182" spans="1:25" ht="31.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20"/>
      <c r="S182" s="120"/>
      <c r="T182" s="120"/>
      <c r="U182" s="120"/>
      <c r="V182" s="120"/>
      <c r="W182" s="117"/>
      <c r="X182" s="117">
        <f t="shared" si="2"/>
        <v>0</v>
      </c>
      <c r="Y182" s="98"/>
    </row>
    <row r="183" spans="1:25" ht="15.7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20"/>
      <c r="S183" s="122"/>
      <c r="T183" s="122"/>
      <c r="U183" s="120"/>
      <c r="V183" s="120"/>
      <c r="W183" s="117"/>
      <c r="X183" s="117">
        <f t="shared" si="2"/>
        <v>0</v>
      </c>
      <c r="Y183" s="98"/>
    </row>
    <row r="184" spans="1:25" ht="173.25">
      <c r="A184" s="469"/>
      <c r="B184" s="476" t="s">
        <v>282</v>
      </c>
      <c r="C184" s="476" t="s">
        <v>230</v>
      </c>
      <c r="D184" s="106">
        <v>175</v>
      </c>
      <c r="E184" s="106" t="s">
        <v>231</v>
      </c>
      <c r="F184" s="167"/>
      <c r="G184" s="167"/>
      <c r="H184" s="167"/>
      <c r="I184" s="167"/>
      <c r="J184" s="116">
        <f t="shared" si="15"/>
        <v>0</v>
      </c>
      <c r="K184" s="168"/>
      <c r="L184" s="168"/>
      <c r="M184" s="167"/>
      <c r="N184" s="168"/>
      <c r="O184" s="167"/>
      <c r="P184" s="125">
        <f t="shared" si="16"/>
        <v>0</v>
      </c>
      <c r="Q184" s="167"/>
      <c r="R184" s="167"/>
      <c r="S184" s="168"/>
      <c r="T184" s="168">
        <v>35.590000000000003</v>
      </c>
      <c r="U184" s="169"/>
      <c r="V184" s="168"/>
      <c r="W184" s="117"/>
      <c r="X184" s="117">
        <f t="shared" si="2"/>
        <v>35.590000000000003</v>
      </c>
      <c r="Y184" s="98" t="s">
        <v>703</v>
      </c>
    </row>
    <row r="185" spans="1:25" ht="346.5">
      <c r="A185" s="469"/>
      <c r="B185" s="469"/>
      <c r="C185" s="469"/>
      <c r="D185" s="106">
        <v>176</v>
      </c>
      <c r="E185" s="106" t="s">
        <v>232</v>
      </c>
      <c r="F185" s="120"/>
      <c r="G185" s="120"/>
      <c r="H185" s="120"/>
      <c r="I185" s="120"/>
      <c r="J185" s="116">
        <f t="shared" si="15"/>
        <v>0</v>
      </c>
      <c r="K185" s="120"/>
      <c r="L185" s="120"/>
      <c r="M185" s="120"/>
      <c r="N185" s="120"/>
      <c r="O185" s="120"/>
      <c r="P185" s="116">
        <f t="shared" si="16"/>
        <v>0</v>
      </c>
      <c r="Q185" s="121"/>
      <c r="R185" s="121">
        <v>8</v>
      </c>
      <c r="S185" s="121"/>
      <c r="T185" s="121">
        <v>12.47</v>
      </c>
      <c r="U185" s="120"/>
      <c r="V185" s="120"/>
      <c r="W185" s="117"/>
      <c r="X185" s="117">
        <f t="shared" si="2"/>
        <v>20.47</v>
      </c>
      <c r="Y185" s="98" t="s">
        <v>704</v>
      </c>
    </row>
    <row r="186" spans="1:25" ht="29.25" hidden="1" customHeight="1">
      <c r="A186" s="469"/>
      <c r="B186" s="469"/>
      <c r="C186" s="469"/>
      <c r="D186" s="106">
        <v>177</v>
      </c>
      <c r="E186" s="106" t="s">
        <v>233</v>
      </c>
      <c r="F186" s="120"/>
      <c r="G186" s="120"/>
      <c r="H186" s="120"/>
      <c r="I186" s="120"/>
      <c r="J186" s="116">
        <f t="shared" si="15"/>
        <v>0</v>
      </c>
      <c r="K186" s="120"/>
      <c r="L186" s="120"/>
      <c r="M186" s="120"/>
      <c r="N186" s="120"/>
      <c r="O186" s="120"/>
      <c r="P186" s="116">
        <f t="shared" si="16"/>
        <v>0</v>
      </c>
      <c r="Q186" s="120"/>
      <c r="R186" s="120"/>
      <c r="S186" s="120"/>
      <c r="T186" s="120"/>
      <c r="U186" s="120"/>
      <c r="V186" s="120"/>
      <c r="W186" s="117"/>
      <c r="X186" s="117">
        <f t="shared" si="2"/>
        <v>0</v>
      </c>
      <c r="Y186" s="98"/>
    </row>
    <row r="187" spans="1:25" ht="47.25">
      <c r="A187" s="469"/>
      <c r="B187" s="476" t="s">
        <v>283</v>
      </c>
      <c r="C187" s="476" t="s">
        <v>284</v>
      </c>
      <c r="D187" s="106">
        <v>178</v>
      </c>
      <c r="E187" s="106" t="s">
        <v>285</v>
      </c>
      <c r="F187" s="120"/>
      <c r="G187" s="120"/>
      <c r="H187" s="120"/>
      <c r="I187" s="120"/>
      <c r="J187" s="116">
        <f t="shared" si="15"/>
        <v>0</v>
      </c>
      <c r="K187" s="120"/>
      <c r="L187" s="120"/>
      <c r="M187" s="120"/>
      <c r="N187" s="120"/>
      <c r="O187" s="120"/>
      <c r="P187" s="116">
        <f t="shared" si="16"/>
        <v>0</v>
      </c>
      <c r="Q187" s="120"/>
      <c r="R187" s="120"/>
      <c r="S187" s="120"/>
      <c r="T187" s="120"/>
      <c r="U187" s="120"/>
      <c r="V187" s="120"/>
      <c r="W187" s="117"/>
      <c r="X187" s="117">
        <f t="shared" si="2"/>
        <v>0</v>
      </c>
      <c r="Y187" s="98"/>
    </row>
    <row r="188" spans="1:25" ht="15.75">
      <c r="A188" s="469"/>
      <c r="B188" s="469"/>
      <c r="C188" s="469"/>
      <c r="D188" s="106">
        <v>179</v>
      </c>
      <c r="E188" s="106" t="s">
        <v>125</v>
      </c>
      <c r="F188" s="120"/>
      <c r="G188" s="120"/>
      <c r="H188" s="120"/>
      <c r="I188" s="120"/>
      <c r="J188" s="116">
        <f t="shared" si="15"/>
        <v>0</v>
      </c>
      <c r="K188" s="120"/>
      <c r="L188" s="120"/>
      <c r="M188" s="120"/>
      <c r="N188" s="120"/>
      <c r="O188" s="120"/>
      <c r="P188" s="116">
        <f t="shared" si="16"/>
        <v>0</v>
      </c>
      <c r="Q188" s="120"/>
      <c r="R188" s="120"/>
      <c r="S188" s="120"/>
      <c r="T188" s="120"/>
      <c r="U188" s="120"/>
      <c r="V188" s="120"/>
      <c r="W188" s="117"/>
      <c r="X188" s="117">
        <f t="shared" si="2"/>
        <v>0</v>
      </c>
      <c r="Y188" s="129"/>
    </row>
    <row r="189" spans="1:25" ht="31.5">
      <c r="A189" s="469"/>
      <c r="B189" s="469"/>
      <c r="C189" s="469"/>
      <c r="D189" s="106">
        <v>180</v>
      </c>
      <c r="E189" s="106" t="s">
        <v>286</v>
      </c>
      <c r="F189" s="120"/>
      <c r="G189" s="120"/>
      <c r="H189" s="120"/>
      <c r="I189" s="120"/>
      <c r="J189" s="116">
        <f t="shared" si="15"/>
        <v>0</v>
      </c>
      <c r="K189" s="120"/>
      <c r="L189" s="120"/>
      <c r="M189" s="120"/>
      <c r="N189" s="120"/>
      <c r="O189" s="122"/>
      <c r="P189" s="117">
        <f t="shared" si="16"/>
        <v>0</v>
      </c>
      <c r="Q189" s="120"/>
      <c r="R189" s="120"/>
      <c r="S189" s="121"/>
      <c r="T189" s="121"/>
      <c r="U189" s="120"/>
      <c r="V189" s="120"/>
      <c r="W189" s="117"/>
      <c r="X189" s="117">
        <f t="shared" si="2"/>
        <v>0</v>
      </c>
      <c r="Y189" s="129"/>
    </row>
    <row r="190" spans="1:25" ht="31.5">
      <c r="A190" s="469"/>
      <c r="B190" s="469"/>
      <c r="C190" s="469"/>
      <c r="D190" s="106">
        <v>181</v>
      </c>
      <c r="E190" s="106" t="s">
        <v>287</v>
      </c>
      <c r="F190" s="120"/>
      <c r="G190" s="120"/>
      <c r="H190" s="120"/>
      <c r="I190" s="120"/>
      <c r="J190" s="116">
        <f t="shared" si="15"/>
        <v>0</v>
      </c>
      <c r="K190" s="120"/>
      <c r="L190" s="120"/>
      <c r="M190" s="120"/>
      <c r="N190" s="120"/>
      <c r="O190" s="120"/>
      <c r="P190" s="116">
        <f t="shared" si="16"/>
        <v>0</v>
      </c>
      <c r="Q190" s="120"/>
      <c r="R190" s="120"/>
      <c r="S190" s="120"/>
      <c r="T190" s="120"/>
      <c r="U190" s="120"/>
      <c r="V190" s="120"/>
      <c r="W190" s="117"/>
      <c r="X190" s="117">
        <f t="shared" si="2"/>
        <v>0</v>
      </c>
      <c r="Y190" s="129"/>
    </row>
    <row r="191" spans="1:25" ht="15.75">
      <c r="A191" s="469"/>
      <c r="B191" s="469"/>
      <c r="C191" s="469"/>
      <c r="D191" s="106">
        <v>182</v>
      </c>
      <c r="E191" s="106" t="s">
        <v>288</v>
      </c>
      <c r="F191" s="120"/>
      <c r="G191" s="120"/>
      <c r="H191" s="120"/>
      <c r="I191" s="120"/>
      <c r="J191" s="116">
        <f t="shared" si="15"/>
        <v>0</v>
      </c>
      <c r="K191" s="120"/>
      <c r="L191" s="120"/>
      <c r="M191" s="120"/>
      <c r="N191" s="120"/>
      <c r="O191" s="120"/>
      <c r="P191" s="116">
        <f t="shared" si="16"/>
        <v>0</v>
      </c>
      <c r="Q191" s="120"/>
      <c r="R191" s="120"/>
      <c r="S191" s="122"/>
      <c r="T191" s="122"/>
      <c r="U191" s="120"/>
      <c r="V191" s="120"/>
      <c r="W191" s="117"/>
      <c r="X191" s="117">
        <f t="shared" si="2"/>
        <v>0</v>
      </c>
      <c r="Y191" s="129"/>
    </row>
    <row r="192" spans="1:25" ht="63" hidden="1">
      <c r="A192" s="469"/>
      <c r="B192" s="469"/>
      <c r="C192" s="469"/>
      <c r="D192" s="106">
        <v>183</v>
      </c>
      <c r="E192" s="106" t="s">
        <v>289</v>
      </c>
      <c r="F192" s="120"/>
      <c r="G192" s="120"/>
      <c r="H192" s="120"/>
      <c r="I192" s="120"/>
      <c r="J192" s="116">
        <f t="shared" si="15"/>
        <v>0</v>
      </c>
      <c r="K192" s="120"/>
      <c r="L192" s="120"/>
      <c r="M192" s="120"/>
      <c r="N192" s="120"/>
      <c r="O192" s="120"/>
      <c r="P192" s="116">
        <f t="shared" si="16"/>
        <v>0</v>
      </c>
      <c r="Q192" s="120"/>
      <c r="R192" s="120"/>
      <c r="S192" s="121"/>
      <c r="T192" s="121"/>
      <c r="U192" s="120"/>
      <c r="V192" s="120"/>
      <c r="W192" s="117"/>
      <c r="X192" s="117">
        <f t="shared" si="2"/>
        <v>0</v>
      </c>
      <c r="Y192" s="129"/>
    </row>
    <row r="193" spans="1:25" ht="47.25">
      <c r="A193" s="469"/>
      <c r="B193" s="106" t="s">
        <v>290</v>
      </c>
      <c r="C193" s="106" t="s">
        <v>291</v>
      </c>
      <c r="D193" s="106">
        <v>184</v>
      </c>
      <c r="E193" s="106" t="s">
        <v>292</v>
      </c>
      <c r="F193" s="120"/>
      <c r="G193" s="120"/>
      <c r="H193" s="120"/>
      <c r="I193" s="120"/>
      <c r="J193" s="116">
        <f t="shared" si="15"/>
        <v>0</v>
      </c>
      <c r="K193" s="120"/>
      <c r="L193" s="120"/>
      <c r="M193" s="120"/>
      <c r="N193" s="120"/>
      <c r="O193" s="120"/>
      <c r="P193" s="116">
        <f t="shared" si="16"/>
        <v>0</v>
      </c>
      <c r="Q193" s="120"/>
      <c r="R193" s="120"/>
      <c r="S193" s="122"/>
      <c r="T193" s="122"/>
      <c r="U193" s="120"/>
      <c r="V193" s="120"/>
      <c r="W193" s="117"/>
      <c r="X193" s="117">
        <f t="shared" si="2"/>
        <v>0</v>
      </c>
      <c r="Y193" s="129"/>
    </row>
    <row r="194" spans="1:25" ht="31.5">
      <c r="A194" s="469"/>
      <c r="B194" s="476" t="s">
        <v>293</v>
      </c>
      <c r="C194" s="476" t="s">
        <v>235</v>
      </c>
      <c r="D194" s="106">
        <v>185</v>
      </c>
      <c r="E194" s="106" t="s">
        <v>236</v>
      </c>
      <c r="F194" s="120"/>
      <c r="G194" s="120"/>
      <c r="H194" s="120"/>
      <c r="I194" s="120"/>
      <c r="J194" s="116">
        <f t="shared" si="15"/>
        <v>0</v>
      </c>
      <c r="K194" s="120"/>
      <c r="L194" s="120"/>
      <c r="M194" s="120"/>
      <c r="N194" s="120"/>
      <c r="O194" s="120"/>
      <c r="P194" s="116">
        <f t="shared" si="16"/>
        <v>0</v>
      </c>
      <c r="Q194" s="120"/>
      <c r="R194" s="120"/>
      <c r="S194" s="120"/>
      <c r="T194" s="120">
        <v>1890.9973000000005</v>
      </c>
      <c r="U194" s="120"/>
      <c r="V194" s="120"/>
      <c r="W194" s="117"/>
      <c r="X194" s="117">
        <f t="shared" si="2"/>
        <v>1890.9973000000005</v>
      </c>
      <c r="Y194" s="98" t="s">
        <v>992</v>
      </c>
    </row>
    <row r="195" spans="1:25" ht="378">
      <c r="A195" s="469"/>
      <c r="B195" s="469"/>
      <c r="C195" s="469"/>
      <c r="D195" s="106">
        <v>186</v>
      </c>
      <c r="E195" s="106" t="s">
        <v>237</v>
      </c>
      <c r="F195" s="120">
        <v>8.8499999999999995E-2</v>
      </c>
      <c r="G195" s="120"/>
      <c r="H195" s="120"/>
      <c r="I195" s="120"/>
      <c r="J195" s="116">
        <f t="shared" si="15"/>
        <v>0</v>
      </c>
      <c r="K195" s="120"/>
      <c r="L195" s="120"/>
      <c r="M195" s="120"/>
      <c r="N195" s="120"/>
      <c r="O195" s="120"/>
      <c r="P195" s="116">
        <f t="shared" si="16"/>
        <v>0</v>
      </c>
      <c r="Q195" s="120"/>
      <c r="R195" s="120"/>
      <c r="S195" s="121"/>
      <c r="T195" s="121">
        <f>3.8+42.568</f>
        <v>46.367999999999995</v>
      </c>
      <c r="U195" s="97"/>
      <c r="V195" s="120"/>
      <c r="W195" s="117"/>
      <c r="X195" s="117">
        <f t="shared" si="2"/>
        <v>46.456499999999998</v>
      </c>
      <c r="Y195" s="98" t="s">
        <v>977</v>
      </c>
    </row>
    <row r="196" spans="1:25" ht="31.5">
      <c r="A196" s="469"/>
      <c r="B196" s="469"/>
      <c r="C196" s="469"/>
      <c r="D196" s="106">
        <v>187</v>
      </c>
      <c r="E196" s="106" t="s">
        <v>294</v>
      </c>
      <c r="F196" s="120"/>
      <c r="G196" s="120"/>
      <c r="H196" s="120"/>
      <c r="I196" s="120"/>
      <c r="J196" s="116">
        <f t="shared" si="15"/>
        <v>0</v>
      </c>
      <c r="K196" s="120"/>
      <c r="L196" s="120"/>
      <c r="M196" s="120"/>
      <c r="N196" s="120"/>
      <c r="O196" s="120"/>
      <c r="P196" s="116">
        <f t="shared" si="16"/>
        <v>0</v>
      </c>
      <c r="Q196" s="120"/>
      <c r="R196" s="120"/>
      <c r="S196" s="120"/>
      <c r="T196" s="120">
        <v>669.12300000000005</v>
      </c>
      <c r="U196" s="120"/>
      <c r="V196" s="120"/>
      <c r="W196" s="117"/>
      <c r="X196" s="117">
        <f t="shared" si="2"/>
        <v>669.12300000000005</v>
      </c>
      <c r="Y196" s="98" t="s">
        <v>993</v>
      </c>
    </row>
    <row r="197" spans="1:25" ht="15.75">
      <c r="A197" s="469"/>
      <c r="B197" s="469"/>
      <c r="C197" s="469"/>
      <c r="D197" s="106">
        <v>188</v>
      </c>
      <c r="E197" s="106" t="s">
        <v>238</v>
      </c>
      <c r="F197" s="120"/>
      <c r="G197" s="120"/>
      <c r="H197" s="120"/>
      <c r="I197" s="120"/>
      <c r="J197" s="116">
        <f t="shared" si="15"/>
        <v>0</v>
      </c>
      <c r="K197" s="120"/>
      <c r="L197" s="120"/>
      <c r="M197" s="120"/>
      <c r="N197" s="120"/>
      <c r="O197" s="120"/>
      <c r="P197" s="116">
        <f t="shared" si="16"/>
        <v>0</v>
      </c>
      <c r="Q197" s="120"/>
      <c r="R197" s="120"/>
      <c r="S197" s="120"/>
      <c r="T197" s="120"/>
      <c r="U197" s="120"/>
      <c r="V197" s="120"/>
      <c r="W197" s="117"/>
      <c r="X197" s="117">
        <f t="shared" si="2"/>
        <v>0</v>
      </c>
      <c r="Y197" s="98"/>
    </row>
    <row r="198" spans="1:25" ht="47.25">
      <c r="A198" s="469"/>
      <c r="B198" s="469"/>
      <c r="C198" s="469"/>
      <c r="D198" s="106">
        <v>189</v>
      </c>
      <c r="E198" s="106" t="s">
        <v>295</v>
      </c>
      <c r="F198" s="120"/>
      <c r="G198" s="120"/>
      <c r="H198" s="120"/>
      <c r="I198" s="120"/>
      <c r="J198" s="116">
        <f t="shared" si="15"/>
        <v>0</v>
      </c>
      <c r="K198" s="120"/>
      <c r="L198" s="120"/>
      <c r="M198" s="120"/>
      <c r="N198" s="120"/>
      <c r="O198" s="120"/>
      <c r="P198" s="116">
        <f t="shared" si="16"/>
        <v>0</v>
      </c>
      <c r="Q198" s="120"/>
      <c r="R198" s="120"/>
      <c r="S198" s="120"/>
      <c r="T198" s="120"/>
      <c r="U198" s="120"/>
      <c r="V198" s="120"/>
      <c r="W198" s="117"/>
      <c r="X198" s="117">
        <f t="shared" si="2"/>
        <v>0</v>
      </c>
      <c r="Y198" s="98"/>
    </row>
    <row r="199" spans="1:25" ht="47.25" hidden="1">
      <c r="A199" s="469"/>
      <c r="B199" s="469"/>
      <c r="C199" s="469"/>
      <c r="D199" s="106">
        <v>190</v>
      </c>
      <c r="E199" s="106" t="s">
        <v>296</v>
      </c>
      <c r="F199" s="120"/>
      <c r="G199" s="120"/>
      <c r="H199" s="120"/>
      <c r="I199" s="120"/>
      <c r="J199" s="116">
        <f t="shared" si="15"/>
        <v>0</v>
      </c>
      <c r="K199" s="120"/>
      <c r="L199" s="120"/>
      <c r="M199" s="120"/>
      <c r="N199" s="120"/>
      <c r="O199" s="120"/>
      <c r="P199" s="116">
        <f t="shared" si="16"/>
        <v>0</v>
      </c>
      <c r="Q199" s="120"/>
      <c r="R199" s="120"/>
      <c r="S199" s="121"/>
      <c r="T199" s="121"/>
      <c r="U199" s="120"/>
      <c r="V199" s="120"/>
      <c r="W199" s="117"/>
      <c r="X199" s="117">
        <f t="shared" si="2"/>
        <v>0</v>
      </c>
      <c r="Y199" s="98"/>
    </row>
    <row r="200" spans="1:25" ht="31.5">
      <c r="A200" s="469"/>
      <c r="B200" s="476" t="s">
        <v>297</v>
      </c>
      <c r="C200" s="476" t="s">
        <v>298</v>
      </c>
      <c r="D200" s="106">
        <v>191</v>
      </c>
      <c r="E200" s="106" t="s">
        <v>299</v>
      </c>
      <c r="F200" s="120"/>
      <c r="G200" s="120"/>
      <c r="H200" s="120"/>
      <c r="I200" s="120"/>
      <c r="J200" s="116">
        <f t="shared" si="15"/>
        <v>0</v>
      </c>
      <c r="K200" s="120"/>
      <c r="L200" s="120"/>
      <c r="M200" s="120"/>
      <c r="N200" s="120"/>
      <c r="O200" s="120"/>
      <c r="P200" s="116">
        <f t="shared" si="16"/>
        <v>0</v>
      </c>
      <c r="Q200" s="120"/>
      <c r="R200" s="120"/>
      <c r="S200" s="120"/>
      <c r="T200" s="120"/>
      <c r="U200" s="120"/>
      <c r="V200" s="120"/>
      <c r="W200" s="117"/>
      <c r="X200" s="117">
        <f t="shared" si="2"/>
        <v>0</v>
      </c>
      <c r="Y200" s="98"/>
    </row>
    <row r="201" spans="1:25" ht="31.5">
      <c r="A201" s="469"/>
      <c r="B201" s="469"/>
      <c r="C201" s="469"/>
      <c r="D201" s="106">
        <v>192</v>
      </c>
      <c r="E201" s="106" t="s">
        <v>300</v>
      </c>
      <c r="F201" s="120"/>
      <c r="G201" s="120"/>
      <c r="H201" s="120"/>
      <c r="I201" s="121"/>
      <c r="J201" s="125">
        <f t="shared" si="15"/>
        <v>0</v>
      </c>
      <c r="K201" s="120"/>
      <c r="L201" s="120"/>
      <c r="M201" s="120"/>
      <c r="N201" s="120"/>
      <c r="O201" s="120"/>
      <c r="P201" s="116">
        <f t="shared" si="16"/>
        <v>0</v>
      </c>
      <c r="Q201" s="120"/>
      <c r="R201" s="120"/>
      <c r="S201" s="122"/>
      <c r="T201" s="122"/>
      <c r="U201" s="120"/>
      <c r="V201" s="120"/>
      <c r="W201" s="117"/>
      <c r="X201" s="117">
        <f t="shared" si="2"/>
        <v>0</v>
      </c>
      <c r="Y201" s="98"/>
    </row>
    <row r="202" spans="1:25" ht="31.5">
      <c r="A202" s="469"/>
      <c r="B202" s="476" t="s">
        <v>301</v>
      </c>
      <c r="C202" s="476" t="s">
        <v>241</v>
      </c>
      <c r="D202" s="106">
        <v>193</v>
      </c>
      <c r="E202" s="106" t="s">
        <v>302</v>
      </c>
      <c r="F202" s="120"/>
      <c r="G202" s="120"/>
      <c r="H202" s="120"/>
      <c r="I202" s="120"/>
      <c r="J202" s="116">
        <f t="shared" si="15"/>
        <v>0</v>
      </c>
      <c r="K202" s="120"/>
      <c r="L202" s="120"/>
      <c r="M202" s="120"/>
      <c r="N202" s="120"/>
      <c r="O202" s="120"/>
      <c r="P202" s="116">
        <f t="shared" si="16"/>
        <v>0</v>
      </c>
      <c r="Q202" s="120"/>
      <c r="R202" s="120"/>
      <c r="S202" s="122"/>
      <c r="T202" s="122"/>
      <c r="U202" s="121"/>
      <c r="V202" s="121"/>
      <c r="W202" s="117"/>
      <c r="X202" s="117">
        <f t="shared" si="2"/>
        <v>0</v>
      </c>
      <c r="Y202" s="98"/>
    </row>
    <row r="203" spans="1:25" ht="31.5">
      <c r="A203" s="469"/>
      <c r="B203" s="469"/>
      <c r="C203" s="469"/>
      <c r="D203" s="106">
        <v>194</v>
      </c>
      <c r="E203" s="106" t="s">
        <v>242</v>
      </c>
      <c r="F203" s="120"/>
      <c r="G203" s="120"/>
      <c r="H203" s="120"/>
      <c r="I203" s="120"/>
      <c r="J203" s="116">
        <f t="shared" si="15"/>
        <v>0</v>
      </c>
      <c r="K203" s="120"/>
      <c r="L203" s="120"/>
      <c r="M203" s="120"/>
      <c r="N203" s="120"/>
      <c r="O203" s="120"/>
      <c r="P203" s="116">
        <f t="shared" si="16"/>
        <v>0</v>
      </c>
      <c r="Q203" s="120"/>
      <c r="R203" s="120"/>
      <c r="S203" s="120"/>
      <c r="T203" s="151">
        <v>76.12</v>
      </c>
      <c r="U203" s="120"/>
      <c r="V203" s="120"/>
      <c r="W203" s="117"/>
      <c r="X203" s="117">
        <f t="shared" si="2"/>
        <v>76.12</v>
      </c>
      <c r="Y203" s="98" t="s">
        <v>1221</v>
      </c>
    </row>
    <row r="204" spans="1:25" ht="47.25" hidden="1">
      <c r="A204" s="469"/>
      <c r="B204" s="476" t="s">
        <v>303</v>
      </c>
      <c r="C204" s="476" t="s">
        <v>304</v>
      </c>
      <c r="D204" s="106">
        <v>195</v>
      </c>
      <c r="E204" s="106" t="s">
        <v>305</v>
      </c>
      <c r="F204" s="120"/>
      <c r="G204" s="120"/>
      <c r="H204" s="120"/>
      <c r="I204" s="120"/>
      <c r="J204" s="116">
        <f t="shared" si="15"/>
        <v>0</v>
      </c>
      <c r="K204" s="120"/>
      <c r="L204" s="120"/>
      <c r="M204" s="120"/>
      <c r="N204" s="120"/>
      <c r="O204" s="120"/>
      <c r="P204" s="116">
        <f t="shared" si="16"/>
        <v>0</v>
      </c>
      <c r="Q204" s="120"/>
      <c r="R204" s="120"/>
      <c r="S204" s="122"/>
      <c r="T204" s="122"/>
      <c r="U204" s="120"/>
      <c r="V204" s="120"/>
      <c r="W204" s="117"/>
      <c r="X204" s="117">
        <f t="shared" si="2"/>
        <v>0</v>
      </c>
      <c r="Y204" s="98"/>
    </row>
    <row r="205" spans="1:25" ht="31.5" hidden="1">
      <c r="A205" s="469"/>
      <c r="B205" s="469"/>
      <c r="C205" s="469"/>
      <c r="D205" s="106">
        <v>196</v>
      </c>
      <c r="E205" s="106" t="s">
        <v>306</v>
      </c>
      <c r="F205" s="120"/>
      <c r="G205" s="120"/>
      <c r="H205" s="120"/>
      <c r="I205" s="120"/>
      <c r="J205" s="116">
        <f t="shared" si="15"/>
        <v>0</v>
      </c>
      <c r="K205" s="120"/>
      <c r="L205" s="120"/>
      <c r="M205" s="120"/>
      <c r="N205" s="120"/>
      <c r="O205" s="120"/>
      <c r="P205" s="116">
        <f t="shared" si="16"/>
        <v>0</v>
      </c>
      <c r="Q205" s="120"/>
      <c r="R205" s="120"/>
      <c r="S205" s="120"/>
      <c r="T205" s="120"/>
      <c r="U205" s="120"/>
      <c r="V205" s="120"/>
      <c r="W205" s="117"/>
      <c r="X205" s="117">
        <f t="shared" si="2"/>
        <v>0</v>
      </c>
      <c r="Y205" s="98"/>
    </row>
    <row r="206" spans="1:25" ht="15.75" hidden="1">
      <c r="A206" s="469"/>
      <c r="B206" s="469"/>
      <c r="C206" s="469"/>
      <c r="D206" s="106">
        <v>197</v>
      </c>
      <c r="E206" s="106" t="s">
        <v>307</v>
      </c>
      <c r="F206" s="135"/>
      <c r="G206" s="135"/>
      <c r="H206" s="135"/>
      <c r="I206" s="135"/>
      <c r="J206" s="116">
        <f t="shared" si="15"/>
        <v>0</v>
      </c>
      <c r="K206" s="135"/>
      <c r="L206" s="135"/>
      <c r="M206" s="135"/>
      <c r="N206" s="135"/>
      <c r="O206" s="135"/>
      <c r="P206" s="116">
        <f t="shared" si="16"/>
        <v>0</v>
      </c>
      <c r="Q206" s="135"/>
      <c r="R206" s="135"/>
      <c r="S206" s="170"/>
      <c r="T206" s="170"/>
      <c r="U206" s="129"/>
      <c r="V206" s="129"/>
      <c r="W206" s="171"/>
      <c r="X206" s="117">
        <f t="shared" si="2"/>
        <v>0</v>
      </c>
      <c r="Y206" s="98"/>
    </row>
    <row r="207" spans="1:25" ht="63" hidden="1">
      <c r="A207" s="469"/>
      <c r="B207" s="106" t="s">
        <v>308</v>
      </c>
      <c r="C207" s="106" t="s">
        <v>246</v>
      </c>
      <c r="D207" s="106">
        <v>198</v>
      </c>
      <c r="E207" s="106" t="s">
        <v>247</v>
      </c>
      <c r="F207" s="120"/>
      <c r="G207" s="120"/>
      <c r="H207" s="120"/>
      <c r="I207" s="120"/>
      <c r="J207" s="116">
        <f t="shared" si="15"/>
        <v>0</v>
      </c>
      <c r="K207" s="120"/>
      <c r="L207" s="120"/>
      <c r="M207" s="120"/>
      <c r="N207" s="120"/>
      <c r="O207" s="120"/>
      <c r="P207" s="116">
        <f t="shared" si="16"/>
        <v>0</v>
      </c>
      <c r="Q207" s="120"/>
      <c r="R207" s="120"/>
      <c r="S207" s="120"/>
      <c r="T207" s="120"/>
      <c r="U207" s="120"/>
      <c r="V207" s="120"/>
      <c r="W207" s="117"/>
      <c r="X207" s="117">
        <f t="shared" si="2"/>
        <v>0</v>
      </c>
      <c r="Y207" s="98"/>
    </row>
    <row r="208" spans="1:25" ht="31.5">
      <c r="A208" s="469"/>
      <c r="B208" s="106" t="s">
        <v>309</v>
      </c>
      <c r="C208" s="106" t="s">
        <v>249</v>
      </c>
      <c r="D208" s="106">
        <v>199</v>
      </c>
      <c r="E208" s="106" t="s">
        <v>250</v>
      </c>
      <c r="F208" s="151"/>
      <c r="G208" s="151"/>
      <c r="H208" s="151"/>
      <c r="I208" s="151"/>
      <c r="J208" s="116">
        <f t="shared" si="15"/>
        <v>0</v>
      </c>
      <c r="K208" s="151"/>
      <c r="L208" s="151"/>
      <c r="M208" s="151"/>
      <c r="N208" s="151"/>
      <c r="O208" s="151"/>
      <c r="P208" s="116">
        <f t="shared" si="16"/>
        <v>0</v>
      </c>
      <c r="Q208" s="151"/>
      <c r="R208" s="151"/>
      <c r="S208" s="151"/>
      <c r="T208" s="151">
        <v>52.25</v>
      </c>
      <c r="U208" s="151"/>
      <c r="V208" s="151"/>
      <c r="W208" s="117"/>
      <c r="X208" s="117">
        <f t="shared" si="2"/>
        <v>52.25</v>
      </c>
      <c r="Y208" s="98" t="s">
        <v>991</v>
      </c>
    </row>
    <row r="209" spans="1:25" ht="47.25">
      <c r="A209" s="469"/>
      <c r="B209" s="106" t="s">
        <v>310</v>
      </c>
      <c r="C209" s="172" t="s">
        <v>311</v>
      </c>
      <c r="D209" s="106">
        <v>200</v>
      </c>
      <c r="E209" s="106" t="s">
        <v>312</v>
      </c>
      <c r="F209" s="173"/>
      <c r="G209" s="173"/>
      <c r="H209" s="173"/>
      <c r="I209" s="173"/>
      <c r="J209" s="116">
        <f t="shared" si="15"/>
        <v>0</v>
      </c>
      <c r="K209" s="173"/>
      <c r="L209" s="173"/>
      <c r="M209" s="173"/>
      <c r="N209" s="173"/>
      <c r="O209" s="173"/>
      <c r="P209" s="116">
        <f t="shared" si="16"/>
        <v>0</v>
      </c>
      <c r="Q209" s="173"/>
      <c r="R209" s="173"/>
      <c r="S209" s="173"/>
      <c r="T209" s="173"/>
      <c r="U209" s="173"/>
      <c r="V209" s="173"/>
      <c r="W209" s="117"/>
      <c r="X209" s="117">
        <f t="shared" si="2"/>
        <v>0</v>
      </c>
      <c r="Y209" s="98"/>
    </row>
    <row r="210" spans="1:25" ht="63">
      <c r="A210" s="469"/>
      <c r="B210" s="174" t="s">
        <v>313</v>
      </c>
      <c r="C210" s="174" t="s">
        <v>314</v>
      </c>
      <c r="D210" s="175">
        <v>201</v>
      </c>
      <c r="E210" s="176" t="s">
        <v>315</v>
      </c>
      <c r="F210" s="173"/>
      <c r="G210" s="173"/>
      <c r="H210" s="173"/>
      <c r="I210" s="173"/>
      <c r="J210" s="116">
        <f t="shared" si="15"/>
        <v>0</v>
      </c>
      <c r="K210" s="173"/>
      <c r="L210" s="173"/>
      <c r="M210" s="173"/>
      <c r="N210" s="173"/>
      <c r="O210" s="173"/>
      <c r="P210" s="116">
        <f t="shared" si="16"/>
        <v>0</v>
      </c>
      <c r="Q210" s="173"/>
      <c r="R210" s="173"/>
      <c r="S210" s="173"/>
      <c r="T210" s="173">
        <v>37.5642</v>
      </c>
      <c r="U210" s="173"/>
      <c r="V210" s="173"/>
      <c r="W210" s="117"/>
      <c r="X210" s="117">
        <f t="shared" si="2"/>
        <v>37.5642</v>
      </c>
      <c r="Y210" s="98" t="s">
        <v>1162</v>
      </c>
    </row>
    <row r="211" spans="1:25" ht="47.25">
      <c r="A211" s="469"/>
      <c r="B211" s="174" t="s">
        <v>316</v>
      </c>
      <c r="C211" s="174" t="s">
        <v>317</v>
      </c>
      <c r="D211" s="175">
        <v>202</v>
      </c>
      <c r="E211" s="176" t="s">
        <v>318</v>
      </c>
      <c r="F211" s="173"/>
      <c r="G211" s="173"/>
      <c r="H211" s="173"/>
      <c r="I211" s="173"/>
      <c r="J211" s="116">
        <f t="shared" si="15"/>
        <v>0</v>
      </c>
      <c r="K211" s="173"/>
      <c r="L211" s="173"/>
      <c r="M211" s="173"/>
      <c r="N211" s="173"/>
      <c r="O211" s="173"/>
      <c r="P211" s="116">
        <f t="shared" si="16"/>
        <v>0</v>
      </c>
      <c r="Q211" s="173"/>
      <c r="R211" s="173"/>
      <c r="S211" s="173"/>
      <c r="T211" s="173">
        <v>531.79840000000002</v>
      </c>
      <c r="U211" s="173"/>
      <c r="V211" s="173"/>
      <c r="W211" s="117"/>
      <c r="X211" s="117">
        <f t="shared" si="2"/>
        <v>531.79840000000002</v>
      </c>
      <c r="Y211" s="98" t="s">
        <v>559</v>
      </c>
    </row>
    <row r="212" spans="1:25" ht="78.75">
      <c r="A212" s="469"/>
      <c r="B212" s="174" t="s">
        <v>319</v>
      </c>
      <c r="C212" s="174" t="s">
        <v>320</v>
      </c>
      <c r="D212" s="175">
        <v>203</v>
      </c>
      <c r="E212" s="176" t="s">
        <v>321</v>
      </c>
      <c r="F212" s="173"/>
      <c r="G212" s="173"/>
      <c r="H212" s="173"/>
      <c r="I212" s="173"/>
      <c r="J212" s="116">
        <f t="shared" si="15"/>
        <v>0</v>
      </c>
      <c r="K212" s="173"/>
      <c r="L212" s="173"/>
      <c r="M212" s="173"/>
      <c r="N212" s="173"/>
      <c r="O212" s="173"/>
      <c r="P212" s="116">
        <f t="shared" si="16"/>
        <v>0</v>
      </c>
      <c r="Q212" s="173"/>
      <c r="R212" s="173"/>
      <c r="S212" s="173"/>
      <c r="T212" s="173"/>
      <c r="U212" s="173"/>
      <c r="V212" s="173"/>
      <c r="W212" s="117"/>
      <c r="X212" s="117">
        <f t="shared" si="2"/>
        <v>0</v>
      </c>
      <c r="Y212" s="98"/>
    </row>
    <row r="213" spans="1:25" ht="47.25">
      <c r="A213" s="469"/>
      <c r="B213" s="174" t="s">
        <v>322</v>
      </c>
      <c r="C213" s="174" t="s">
        <v>323</v>
      </c>
      <c r="D213" s="175">
        <v>204</v>
      </c>
      <c r="E213" s="176" t="s">
        <v>324</v>
      </c>
      <c r="F213" s="173"/>
      <c r="G213" s="173"/>
      <c r="H213" s="173"/>
      <c r="I213" s="173"/>
      <c r="J213" s="116">
        <f t="shared" si="15"/>
        <v>0</v>
      </c>
      <c r="K213" s="173"/>
      <c r="L213" s="173"/>
      <c r="M213" s="173"/>
      <c r="N213" s="173"/>
      <c r="O213" s="173"/>
      <c r="P213" s="116">
        <f t="shared" si="16"/>
        <v>0</v>
      </c>
      <c r="Q213" s="173"/>
      <c r="R213" s="173"/>
      <c r="S213" s="173"/>
      <c r="T213" s="173">
        <v>20.496400000000001</v>
      </c>
      <c r="U213" s="173"/>
      <c r="V213" s="173"/>
      <c r="W213" s="117"/>
      <c r="X213" s="178">
        <f t="shared" si="2"/>
        <v>20.496400000000001</v>
      </c>
      <c r="Y213" s="98" t="s">
        <v>676</v>
      </c>
    </row>
    <row r="214" spans="1:25" ht="47.25">
      <c r="A214" s="469"/>
      <c r="B214" s="174" t="s">
        <v>326</v>
      </c>
      <c r="C214" s="174" t="s">
        <v>291</v>
      </c>
      <c r="D214" s="175">
        <v>205</v>
      </c>
      <c r="E214" s="176" t="s">
        <v>327</v>
      </c>
      <c r="F214" s="173"/>
      <c r="G214" s="173"/>
      <c r="H214" s="173"/>
      <c r="I214" s="173"/>
      <c r="J214" s="116">
        <f t="shared" si="15"/>
        <v>0</v>
      </c>
      <c r="K214" s="173"/>
      <c r="L214" s="173"/>
      <c r="M214" s="173"/>
      <c r="N214" s="173"/>
      <c r="O214" s="173"/>
      <c r="P214" s="116">
        <f t="shared" si="16"/>
        <v>0</v>
      </c>
      <c r="Q214" s="173"/>
      <c r="R214" s="173"/>
      <c r="S214" s="173"/>
      <c r="T214" s="173"/>
      <c r="U214" s="173"/>
      <c r="V214" s="173"/>
      <c r="W214" s="117"/>
      <c r="X214" s="117">
        <f t="shared" si="2"/>
        <v>0</v>
      </c>
      <c r="Y214" s="98"/>
    </row>
    <row r="215" spans="1:25" ht="31.5">
      <c r="A215" s="469"/>
      <c r="B215" s="174" t="s">
        <v>329</v>
      </c>
      <c r="C215" s="174" t="s">
        <v>246</v>
      </c>
      <c r="D215" s="175">
        <v>206</v>
      </c>
      <c r="E215" s="176" t="s">
        <v>330</v>
      </c>
      <c r="F215" s="173"/>
      <c r="G215" s="173"/>
      <c r="H215" s="173"/>
      <c r="I215" s="173"/>
      <c r="J215" s="116">
        <f t="shared" si="15"/>
        <v>0</v>
      </c>
      <c r="K215" s="173"/>
      <c r="L215" s="173"/>
      <c r="M215" s="173"/>
      <c r="N215" s="173"/>
      <c r="O215" s="173"/>
      <c r="P215" s="116">
        <f t="shared" si="16"/>
        <v>0</v>
      </c>
      <c r="Q215" s="173"/>
      <c r="R215" s="173"/>
      <c r="S215" s="173"/>
      <c r="T215" s="173">
        <v>15</v>
      </c>
      <c r="U215" s="173"/>
      <c r="V215" s="173"/>
      <c r="W215" s="117"/>
      <c r="X215" s="117">
        <f t="shared" si="2"/>
        <v>15</v>
      </c>
      <c r="Y215" s="164" t="s">
        <v>560</v>
      </c>
    </row>
    <row r="216" spans="1:25" s="110" customFormat="1" ht="27.75" customHeight="1">
      <c r="A216" s="469"/>
      <c r="B216" s="478" t="s">
        <v>331</v>
      </c>
      <c r="C216" s="479"/>
      <c r="D216" s="479"/>
      <c r="E216" s="99"/>
      <c r="F216" s="100">
        <f t="shared" ref="F216:W216" si="17">SUM(F159:F215)</f>
        <v>8.8499999999999995E-2</v>
      </c>
      <c r="G216" s="101">
        <f t="shared" si="17"/>
        <v>0</v>
      </c>
      <c r="H216" s="101">
        <f t="shared" si="17"/>
        <v>210</v>
      </c>
      <c r="I216" s="101">
        <f t="shared" si="17"/>
        <v>0</v>
      </c>
      <c r="J216" s="101">
        <f t="shared" si="17"/>
        <v>210</v>
      </c>
      <c r="K216" s="100">
        <f t="shared" si="17"/>
        <v>0</v>
      </c>
      <c r="L216" s="100">
        <f t="shared" si="17"/>
        <v>0</v>
      </c>
      <c r="M216" s="100">
        <f t="shared" si="17"/>
        <v>0</v>
      </c>
      <c r="N216" s="100">
        <f t="shared" si="17"/>
        <v>0</v>
      </c>
      <c r="O216" s="100">
        <f t="shared" si="17"/>
        <v>0</v>
      </c>
      <c r="P216" s="100">
        <f t="shared" si="17"/>
        <v>0</v>
      </c>
      <c r="Q216" s="100">
        <f t="shared" si="17"/>
        <v>0</v>
      </c>
      <c r="R216" s="100">
        <f t="shared" si="17"/>
        <v>8</v>
      </c>
      <c r="S216" s="101">
        <f t="shared" si="17"/>
        <v>0</v>
      </c>
      <c r="T216" s="101">
        <f t="shared" si="17"/>
        <v>3421.4573000000005</v>
      </c>
      <c r="U216" s="100">
        <f t="shared" si="17"/>
        <v>0</v>
      </c>
      <c r="V216" s="100">
        <f t="shared" si="17"/>
        <v>0</v>
      </c>
      <c r="W216" s="102">
        <f t="shared" si="17"/>
        <v>0</v>
      </c>
      <c r="X216" s="102">
        <f t="shared" si="2"/>
        <v>3639.5458000000003</v>
      </c>
      <c r="Y216" s="107"/>
    </row>
    <row r="217" spans="1:25" ht="30.75" customHeight="1">
      <c r="A217" s="480" t="s">
        <v>332</v>
      </c>
      <c r="B217" s="469"/>
      <c r="C217" s="469"/>
      <c r="D217" s="469"/>
      <c r="E217" s="103"/>
      <c r="F217" s="104">
        <f t="shared" ref="F217:W217" si="18">F216+F158+F134+F93+F68</f>
        <v>86.164560000000009</v>
      </c>
      <c r="G217" s="105">
        <f t="shared" si="18"/>
        <v>0</v>
      </c>
      <c r="H217" s="105">
        <f t="shared" si="18"/>
        <v>210</v>
      </c>
      <c r="I217" s="105">
        <f t="shared" si="18"/>
        <v>6.65</v>
      </c>
      <c r="J217" s="105">
        <f t="shared" si="18"/>
        <v>216.65</v>
      </c>
      <c r="K217" s="104">
        <f t="shared" si="18"/>
        <v>0</v>
      </c>
      <c r="L217" s="104">
        <f t="shared" si="18"/>
        <v>26.206000000000003</v>
      </c>
      <c r="M217" s="104">
        <f t="shared" si="18"/>
        <v>0</v>
      </c>
      <c r="N217" s="104">
        <f t="shared" si="18"/>
        <v>0</v>
      </c>
      <c r="O217" s="104">
        <f t="shared" si="18"/>
        <v>39.648199999999996</v>
      </c>
      <c r="P217" s="104">
        <f t="shared" si="18"/>
        <v>39.648199999999996</v>
      </c>
      <c r="Q217" s="104">
        <f t="shared" si="18"/>
        <v>0</v>
      </c>
      <c r="R217" s="104">
        <f t="shared" si="18"/>
        <v>68.490700000000004</v>
      </c>
      <c r="S217" s="105">
        <f t="shared" si="18"/>
        <v>0</v>
      </c>
      <c r="T217" s="105">
        <f t="shared" si="18"/>
        <v>4167.4402500000006</v>
      </c>
      <c r="U217" s="104">
        <f t="shared" si="18"/>
        <v>0</v>
      </c>
      <c r="V217" s="104">
        <f t="shared" si="18"/>
        <v>3.45</v>
      </c>
      <c r="W217" s="104">
        <f t="shared" si="18"/>
        <v>0</v>
      </c>
      <c r="X217" s="104">
        <f t="shared" si="2"/>
        <v>4608.0497100000002</v>
      </c>
      <c r="Y217" s="108"/>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38"/>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38"/>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38"/>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38"/>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38"/>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38"/>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38"/>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38"/>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38"/>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38"/>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38"/>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38"/>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38"/>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38"/>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38"/>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38"/>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38"/>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38"/>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38"/>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38"/>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38"/>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38"/>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38"/>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38"/>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38"/>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38"/>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38"/>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38"/>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38"/>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38"/>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38"/>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38"/>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38"/>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38"/>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38"/>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38"/>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38"/>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38"/>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38"/>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38"/>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38"/>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38"/>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38"/>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38"/>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38"/>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38"/>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38"/>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38"/>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38"/>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38"/>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38"/>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38"/>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38"/>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38"/>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38"/>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38"/>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38"/>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38"/>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38"/>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38"/>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38"/>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38"/>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38"/>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38"/>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38"/>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38"/>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38"/>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38"/>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38"/>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38"/>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38"/>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38"/>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38"/>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38"/>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38"/>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38"/>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38"/>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38"/>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38"/>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38"/>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38"/>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38"/>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38"/>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38"/>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38"/>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38"/>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38"/>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38"/>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38"/>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38"/>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38"/>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38"/>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38"/>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38"/>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38"/>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38"/>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38"/>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38"/>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38"/>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38"/>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38"/>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38"/>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38"/>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38"/>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38"/>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38"/>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38"/>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38"/>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38"/>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38"/>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38"/>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38"/>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38"/>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38"/>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38"/>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38"/>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38"/>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38"/>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38"/>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38"/>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38"/>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38"/>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38"/>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38"/>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38"/>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38"/>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38"/>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38"/>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38"/>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38"/>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38"/>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38"/>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38"/>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38"/>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38"/>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38"/>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38"/>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38"/>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38"/>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38"/>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38"/>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38"/>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38"/>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38"/>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38"/>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38"/>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38"/>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38"/>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38"/>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38"/>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38"/>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38"/>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38"/>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38"/>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38"/>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38"/>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38"/>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38"/>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38"/>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38"/>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38"/>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38"/>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38"/>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38"/>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38"/>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38"/>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38"/>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38"/>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38"/>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38"/>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38"/>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38"/>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38"/>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38"/>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38"/>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38"/>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38"/>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38"/>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38"/>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38"/>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38"/>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38"/>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38"/>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38"/>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38"/>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38"/>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38"/>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38"/>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38"/>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38"/>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38"/>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38"/>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38"/>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38"/>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38"/>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38"/>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38"/>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38"/>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38"/>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38"/>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38"/>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38"/>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38"/>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38"/>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38"/>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38"/>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38"/>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38"/>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38"/>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38"/>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38"/>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38"/>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38"/>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38"/>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38"/>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38"/>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38"/>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38"/>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38"/>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38"/>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38"/>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38"/>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38"/>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38"/>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38"/>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38"/>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38"/>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38"/>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38"/>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38"/>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38"/>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38"/>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38"/>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38"/>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38"/>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38"/>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38"/>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38"/>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38"/>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38"/>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38"/>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38"/>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38"/>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38"/>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38"/>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38"/>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38"/>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38"/>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38"/>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38"/>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38"/>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38"/>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38"/>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38"/>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38"/>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38"/>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38"/>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38"/>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38"/>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38"/>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38"/>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38"/>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38"/>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38"/>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38"/>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38"/>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38"/>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38"/>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38"/>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38"/>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38"/>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38"/>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38"/>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38"/>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38"/>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38"/>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38"/>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38"/>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38"/>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38"/>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38"/>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38"/>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38"/>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38"/>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38"/>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38"/>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38"/>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38"/>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38"/>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38"/>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38"/>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38"/>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38"/>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38"/>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38"/>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38"/>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38"/>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38"/>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38"/>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38"/>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38"/>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38"/>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38"/>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38"/>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38"/>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38"/>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38"/>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38"/>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38"/>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38"/>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38"/>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38"/>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38"/>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38"/>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38"/>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38"/>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38"/>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38"/>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38"/>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38"/>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38"/>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38"/>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38"/>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38"/>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38"/>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38"/>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38"/>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38"/>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38"/>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38"/>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38"/>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38"/>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38"/>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38"/>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38"/>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38"/>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38"/>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38"/>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38"/>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38"/>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38"/>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38"/>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38"/>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38"/>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38"/>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38"/>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38"/>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38"/>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38"/>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38"/>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38"/>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38"/>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38"/>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38"/>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38"/>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38"/>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38"/>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38"/>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38"/>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38"/>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38"/>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38"/>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38"/>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38"/>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38"/>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38"/>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38"/>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38"/>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38"/>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38"/>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38"/>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38"/>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38"/>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38"/>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38"/>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38"/>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38"/>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38"/>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38"/>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38"/>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38"/>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38"/>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38"/>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38"/>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38"/>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38"/>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38"/>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38"/>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38"/>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38"/>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38"/>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38"/>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38"/>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38"/>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38"/>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38"/>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38"/>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38"/>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38"/>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38"/>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38"/>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38"/>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38"/>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38"/>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38"/>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38"/>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38"/>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38"/>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38"/>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38"/>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38"/>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38"/>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38"/>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38"/>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38"/>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38"/>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38"/>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38"/>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38"/>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38"/>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38"/>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38"/>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38"/>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38"/>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38"/>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38"/>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38"/>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38"/>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38"/>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38"/>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38"/>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38"/>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38"/>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38"/>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38"/>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38"/>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38"/>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38"/>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38"/>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38"/>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38"/>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38"/>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38"/>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38"/>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38"/>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38"/>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38"/>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38"/>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38"/>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38"/>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38"/>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38"/>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38"/>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38"/>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38"/>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38"/>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38"/>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38"/>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38"/>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38"/>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38"/>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38"/>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38"/>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38"/>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38"/>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38"/>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38"/>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38"/>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38"/>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38"/>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38"/>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38"/>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38"/>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38"/>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38"/>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38"/>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38"/>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38"/>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38"/>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38"/>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38"/>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38"/>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38"/>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38"/>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38"/>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38"/>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38"/>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38"/>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38"/>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38"/>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38"/>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38"/>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38"/>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38"/>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38"/>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38"/>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38"/>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38"/>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38"/>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38"/>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38"/>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38"/>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38"/>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38"/>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38"/>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38"/>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38"/>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38"/>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38"/>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38"/>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38"/>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38"/>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38"/>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38"/>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38"/>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38"/>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38"/>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38"/>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38"/>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38"/>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38"/>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38"/>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38"/>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38"/>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38"/>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38"/>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38"/>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38"/>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38"/>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38"/>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38"/>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38"/>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38"/>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38"/>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38"/>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38"/>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38"/>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38"/>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38"/>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38"/>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38"/>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38"/>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38"/>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38"/>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38"/>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38"/>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38"/>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38"/>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38"/>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38"/>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38"/>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38"/>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38"/>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38"/>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38"/>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38"/>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38"/>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38"/>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38"/>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38"/>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38"/>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38"/>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38"/>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38"/>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38"/>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38"/>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38"/>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38"/>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38"/>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38"/>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38"/>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38"/>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38"/>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38"/>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38"/>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38"/>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38"/>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38"/>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38"/>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38"/>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38"/>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38"/>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38"/>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38"/>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38"/>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38"/>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38"/>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38"/>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38"/>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15.xml><?xml version="1.0" encoding="utf-8"?>
<worksheet xmlns="http://schemas.openxmlformats.org/spreadsheetml/2006/main" xmlns:r="http://schemas.openxmlformats.org/officeDocument/2006/relationships">
  <sheetPr>
    <outlinePr summaryBelow="0" summaryRight="0"/>
  </sheetPr>
  <dimension ref="A1:Y1000"/>
  <sheetViews>
    <sheetView workbookViewId="0">
      <pane xSplit="5" ySplit="5" topLeftCell="F12" activePane="bottomRight" state="frozen"/>
      <selection pane="topRight" activeCell="F1" sqref="F1"/>
      <selection pane="bottomLeft" activeCell="A6" sqref="A6"/>
      <selection pane="bottomRight" activeCell="AA11" sqref="AA11"/>
    </sheetView>
  </sheetViews>
  <sheetFormatPr defaultColWidth="14.42578125" defaultRowHeight="15" customHeight="1"/>
  <cols>
    <col min="1" max="1" width="5.140625" style="268" customWidth="1"/>
    <col min="2" max="2" width="7" style="268" customWidth="1"/>
    <col min="3" max="3" width="11.42578125" style="268" customWidth="1"/>
    <col min="4" max="4" width="8.140625" style="268" customWidth="1"/>
    <col min="5" max="5" width="25.42578125" style="268" customWidth="1"/>
    <col min="6" max="6" width="9.28515625" style="268" customWidth="1"/>
    <col min="7" max="7" width="12.28515625" style="268" hidden="1" customWidth="1"/>
    <col min="8" max="8" width="10.28515625" style="268" customWidth="1"/>
    <col min="9" max="9" width="9" style="268" customWidth="1"/>
    <col min="10" max="10" width="9.7109375" style="268" customWidth="1"/>
    <col min="11" max="11" width="14.140625" style="268" hidden="1" customWidth="1"/>
    <col min="12" max="12" width="10.5703125" style="268" customWidth="1"/>
    <col min="13" max="13" width="13.85546875" style="268" hidden="1" customWidth="1"/>
    <col min="14" max="14" width="13.28515625" style="268" customWidth="1"/>
    <col min="15" max="15" width="10.140625" style="268" customWidth="1"/>
    <col min="16" max="16" width="9.28515625" style="268" customWidth="1"/>
    <col min="17" max="17" width="22.28515625" style="268" hidden="1" customWidth="1"/>
    <col min="18" max="18" width="11.85546875" style="268" customWidth="1"/>
    <col min="19" max="19" width="17.140625" style="268" hidden="1" customWidth="1"/>
    <col min="20" max="20" width="14.5703125" style="268" customWidth="1"/>
    <col min="21" max="21" width="24" style="268" hidden="1" customWidth="1"/>
    <col min="22" max="22" width="9.85546875" style="268" customWidth="1"/>
    <col min="23" max="23" width="18.85546875" style="268" hidden="1" customWidth="1"/>
    <col min="24" max="24" width="9.42578125" style="268" customWidth="1"/>
    <col min="25" max="25" width="41" style="268" customWidth="1"/>
    <col min="26" max="16384" width="14.42578125" style="268"/>
  </cols>
  <sheetData>
    <row r="1" spans="1:25" ht="45.75" customHeight="1">
      <c r="A1" s="12" t="s">
        <v>12</v>
      </c>
      <c r="B1" s="13"/>
      <c r="C1" s="13"/>
      <c r="D1" s="13"/>
      <c r="E1" s="14"/>
      <c r="F1" s="14"/>
      <c r="G1" s="14"/>
      <c r="H1" s="14"/>
      <c r="I1" s="14"/>
      <c r="J1" s="14"/>
      <c r="K1" s="14"/>
      <c r="L1" s="14"/>
      <c r="M1" s="15"/>
      <c r="N1" s="15"/>
      <c r="O1" s="15"/>
      <c r="P1" s="15"/>
      <c r="Q1" s="15"/>
      <c r="R1" s="15"/>
      <c r="S1" s="15"/>
      <c r="T1" s="15"/>
      <c r="U1" s="15"/>
      <c r="V1" s="15"/>
      <c r="W1" s="15"/>
      <c r="X1" s="15"/>
      <c r="Y1" s="368"/>
    </row>
    <row r="2" spans="1:25" ht="29.25" customHeight="1">
      <c r="A2" s="15"/>
      <c r="B2" s="15"/>
      <c r="C2" s="15"/>
      <c r="D2" s="15"/>
      <c r="E2" s="15"/>
      <c r="F2" s="15"/>
      <c r="G2" s="15"/>
      <c r="H2" s="15"/>
      <c r="I2" s="15"/>
      <c r="J2" s="15"/>
      <c r="K2" s="15"/>
      <c r="L2" s="15"/>
      <c r="M2" s="15"/>
      <c r="N2" s="15"/>
      <c r="O2" s="15"/>
      <c r="P2" s="15"/>
      <c r="Q2" s="15"/>
      <c r="R2" s="15"/>
      <c r="S2" s="15"/>
      <c r="T2" s="15"/>
      <c r="U2" s="15"/>
      <c r="V2" s="15"/>
      <c r="W2" s="15"/>
      <c r="X2" s="15"/>
      <c r="Y2" s="368"/>
    </row>
    <row r="3" spans="1:25" ht="29.25" customHeight="1">
      <c r="A3" s="15"/>
      <c r="B3" s="369"/>
      <c r="C3" s="369"/>
      <c r="D3" s="369"/>
      <c r="E3" s="369" t="s">
        <v>409</v>
      </c>
      <c r="F3" s="369"/>
      <c r="G3" s="369"/>
      <c r="H3" s="369"/>
      <c r="I3" s="369"/>
      <c r="J3" s="369"/>
      <c r="K3" s="369"/>
      <c r="L3" s="369"/>
      <c r="M3" s="369"/>
      <c r="N3" s="369"/>
      <c r="O3" s="369"/>
      <c r="P3" s="369"/>
      <c r="Q3" s="369"/>
      <c r="R3" s="369"/>
      <c r="S3" s="369"/>
      <c r="T3" s="369"/>
      <c r="U3" s="369"/>
      <c r="V3" s="369"/>
      <c r="W3" s="370"/>
      <c r="X3" s="514" t="s">
        <v>2</v>
      </c>
      <c r="Y3" s="471"/>
    </row>
    <row r="4" spans="1:25" ht="40.5"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515" t="s">
        <v>16</v>
      </c>
    </row>
    <row r="5" spans="1:25" ht="73.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516"/>
    </row>
    <row r="6" spans="1:25" ht="45.75" customHeight="1">
      <c r="A6" s="477" t="s">
        <v>24</v>
      </c>
      <c r="B6" s="476" t="s">
        <v>25</v>
      </c>
      <c r="C6" s="476" t="s">
        <v>26</v>
      </c>
      <c r="D6" s="106">
        <v>1</v>
      </c>
      <c r="E6" s="106" t="s">
        <v>27</v>
      </c>
      <c r="F6" s="116"/>
      <c r="G6" s="116"/>
      <c r="H6" s="116"/>
      <c r="I6" s="116"/>
      <c r="J6" s="116">
        <f t="shared" ref="J6:J67" si="0">H6+I6</f>
        <v>0</v>
      </c>
      <c r="K6" s="116"/>
      <c r="L6" s="116"/>
      <c r="M6" s="116"/>
      <c r="N6" s="116"/>
      <c r="O6" s="116"/>
      <c r="P6" s="116">
        <f t="shared" ref="P6:P40" si="1">N6+O6</f>
        <v>0</v>
      </c>
      <c r="Q6" s="116"/>
      <c r="R6" s="116"/>
      <c r="S6" s="116"/>
      <c r="T6" s="116"/>
      <c r="U6" s="106"/>
      <c r="V6" s="116"/>
      <c r="W6" s="117"/>
      <c r="X6" s="117">
        <f t="shared" ref="X6:X217" si="2">F6+J6+L6+P6+R6+T6+V6</f>
        <v>0</v>
      </c>
      <c r="Y6" s="135"/>
    </row>
    <row r="7" spans="1:25" ht="84.75" customHeight="1">
      <c r="A7" s="469"/>
      <c r="B7" s="469"/>
      <c r="C7" s="469"/>
      <c r="D7" s="106">
        <v>2</v>
      </c>
      <c r="E7" s="106" t="s">
        <v>28</v>
      </c>
      <c r="F7" s="116"/>
      <c r="G7" s="116"/>
      <c r="H7" s="116"/>
      <c r="I7" s="116"/>
      <c r="J7" s="116">
        <f t="shared" si="0"/>
        <v>0</v>
      </c>
      <c r="K7" s="116"/>
      <c r="L7" s="116"/>
      <c r="M7" s="116"/>
      <c r="N7" s="116"/>
      <c r="O7" s="119">
        <f>(322107*180*0.42*2)/100000</f>
        <v>487.02578399999999</v>
      </c>
      <c r="P7" s="117">
        <f t="shared" si="1"/>
        <v>487.02578399999999</v>
      </c>
      <c r="Q7" s="98"/>
      <c r="R7" s="120"/>
      <c r="S7" s="121"/>
      <c r="T7" s="121"/>
      <c r="U7" s="106"/>
      <c r="V7" s="116"/>
      <c r="W7" s="117"/>
      <c r="X7" s="117">
        <f t="shared" si="2"/>
        <v>487.02578399999999</v>
      </c>
      <c r="Y7" s="135" t="s">
        <v>410</v>
      </c>
    </row>
    <row r="8" spans="1:25" ht="39.75" customHeight="1">
      <c r="A8" s="469"/>
      <c r="B8" s="469"/>
      <c r="C8" s="469"/>
      <c r="D8" s="106">
        <v>3</v>
      </c>
      <c r="E8" s="106" t="s">
        <v>29</v>
      </c>
      <c r="F8" s="121"/>
      <c r="G8" s="120"/>
      <c r="H8" s="120"/>
      <c r="I8" s="120"/>
      <c r="J8" s="116">
        <f t="shared" si="0"/>
        <v>0</v>
      </c>
      <c r="K8" s="120"/>
      <c r="L8" s="120"/>
      <c r="M8" s="120"/>
      <c r="N8" s="120"/>
      <c r="O8" s="120"/>
      <c r="P8" s="116">
        <f t="shared" si="1"/>
        <v>0</v>
      </c>
      <c r="Q8" s="120"/>
      <c r="R8" s="120"/>
      <c r="S8" s="120"/>
      <c r="T8" s="120"/>
      <c r="U8" s="106"/>
      <c r="V8" s="116"/>
      <c r="W8" s="117"/>
      <c r="X8" s="117">
        <f t="shared" si="2"/>
        <v>0</v>
      </c>
      <c r="Y8" s="135"/>
    </row>
    <row r="9" spans="1:25" ht="47.25">
      <c r="A9" s="469"/>
      <c r="B9" s="469"/>
      <c r="C9" s="469"/>
      <c r="D9" s="106">
        <v>4</v>
      </c>
      <c r="E9" s="106" t="s">
        <v>30</v>
      </c>
      <c r="F9" s="116"/>
      <c r="G9" s="116"/>
      <c r="H9" s="116"/>
      <c r="I9" s="116"/>
      <c r="J9" s="116">
        <f t="shared" si="0"/>
        <v>0</v>
      </c>
      <c r="K9" s="116"/>
      <c r="L9" s="116"/>
      <c r="M9" s="116"/>
      <c r="N9" s="116"/>
      <c r="O9" s="437"/>
      <c r="P9" s="116">
        <f t="shared" si="1"/>
        <v>0</v>
      </c>
      <c r="Q9" s="122"/>
      <c r="R9" s="119"/>
      <c r="S9" s="121"/>
      <c r="T9" s="121"/>
      <c r="U9" s="106"/>
      <c r="V9" s="120"/>
      <c r="W9" s="117"/>
      <c r="X9" s="117">
        <f t="shared" si="2"/>
        <v>0</v>
      </c>
      <c r="Y9" s="135"/>
    </row>
    <row r="10" spans="1:25" ht="41.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c r="U10" s="106"/>
      <c r="V10" s="120"/>
      <c r="W10" s="117"/>
      <c r="X10" s="117">
        <f t="shared" si="2"/>
        <v>0</v>
      </c>
      <c r="Y10" s="135"/>
    </row>
    <row r="11" spans="1:25" ht="47.25">
      <c r="A11" s="469"/>
      <c r="B11" s="469"/>
      <c r="C11" s="469"/>
      <c r="D11" s="106">
        <v>6</v>
      </c>
      <c r="E11" s="106" t="s">
        <v>32</v>
      </c>
      <c r="F11" s="120"/>
      <c r="G11" s="120"/>
      <c r="H11" s="120"/>
      <c r="I11" s="120"/>
      <c r="J11" s="116">
        <f t="shared" si="0"/>
        <v>0</v>
      </c>
      <c r="K11" s="120"/>
      <c r="L11" s="120"/>
      <c r="M11" s="120"/>
      <c r="N11" s="120"/>
      <c r="O11" s="120"/>
      <c r="P11" s="116">
        <f t="shared" si="1"/>
        <v>0</v>
      </c>
      <c r="Q11" s="120"/>
      <c r="R11" s="120"/>
      <c r="S11" s="121"/>
      <c r="T11" s="121"/>
      <c r="U11" s="106"/>
      <c r="V11" s="120"/>
      <c r="W11" s="117"/>
      <c r="X11" s="117">
        <f t="shared" si="2"/>
        <v>0</v>
      </c>
      <c r="Y11" s="135"/>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06"/>
      <c r="V12" s="120"/>
      <c r="W12" s="117"/>
      <c r="X12" s="117">
        <f t="shared" si="2"/>
        <v>0</v>
      </c>
      <c r="Y12" s="135"/>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06"/>
      <c r="V13" s="120"/>
      <c r="W13" s="117"/>
      <c r="X13" s="117">
        <f t="shared" si="2"/>
        <v>0</v>
      </c>
      <c r="Y13" s="135"/>
    </row>
    <row r="14" spans="1:25" ht="28.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c r="U14" s="169"/>
      <c r="V14" s="121"/>
      <c r="W14" s="117"/>
      <c r="X14" s="117">
        <f t="shared" si="2"/>
        <v>0</v>
      </c>
      <c r="Y14" s="135"/>
    </row>
    <row r="15" spans="1:25" ht="31.5">
      <c r="A15" s="469"/>
      <c r="B15" s="469"/>
      <c r="C15" s="469"/>
      <c r="D15" s="106">
        <v>10</v>
      </c>
      <c r="E15" s="106" t="s">
        <v>36</v>
      </c>
      <c r="F15" s="120"/>
      <c r="G15" s="120"/>
      <c r="H15" s="120"/>
      <c r="I15" s="120"/>
      <c r="J15" s="116">
        <f t="shared" si="0"/>
        <v>0</v>
      </c>
      <c r="K15" s="122"/>
      <c r="L15" s="122"/>
      <c r="M15" s="116"/>
      <c r="N15" s="120"/>
      <c r="O15" s="120"/>
      <c r="P15" s="116">
        <f t="shared" si="1"/>
        <v>0</v>
      </c>
      <c r="Q15" s="120"/>
      <c r="R15" s="120"/>
      <c r="S15" s="120"/>
      <c r="T15" s="120"/>
      <c r="U15" s="106"/>
      <c r="V15" s="120"/>
      <c r="W15" s="117"/>
      <c r="X15" s="117">
        <f t="shared" si="2"/>
        <v>0</v>
      </c>
      <c r="Y15" s="135"/>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06"/>
      <c r="V16" s="116"/>
      <c r="W16" s="117"/>
      <c r="X16" s="117">
        <f t="shared" si="2"/>
        <v>0</v>
      </c>
      <c r="Y16" s="135"/>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06"/>
      <c r="V17" s="116"/>
      <c r="W17" s="117"/>
      <c r="X17" s="117">
        <f t="shared" si="2"/>
        <v>0</v>
      </c>
      <c r="Y17" s="135"/>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06"/>
      <c r="V18" s="116"/>
      <c r="W18" s="117"/>
      <c r="X18" s="117">
        <f t="shared" si="2"/>
        <v>0</v>
      </c>
      <c r="Y18" s="135"/>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06"/>
      <c r="V19" s="116"/>
      <c r="W19" s="117"/>
      <c r="X19" s="117">
        <f t="shared" si="2"/>
        <v>0</v>
      </c>
      <c r="Y19" s="135"/>
    </row>
    <row r="20" spans="1:25" ht="151.5" customHeight="1">
      <c r="A20" s="469"/>
      <c r="B20" s="469"/>
      <c r="C20" s="469"/>
      <c r="D20" s="106">
        <v>15</v>
      </c>
      <c r="E20" s="106" t="s">
        <v>41</v>
      </c>
      <c r="F20" s="120"/>
      <c r="G20" s="120"/>
      <c r="H20" s="120"/>
      <c r="I20" s="120"/>
      <c r="J20" s="116">
        <f t="shared" si="0"/>
        <v>0</v>
      </c>
      <c r="K20" s="126"/>
      <c r="L20" s="422">
        <f>46.6208672+295.92</f>
        <v>342.54086720000004</v>
      </c>
      <c r="M20" s="127"/>
      <c r="N20" s="120"/>
      <c r="O20" s="120"/>
      <c r="P20" s="116">
        <f t="shared" si="1"/>
        <v>0</v>
      </c>
      <c r="Q20" s="120"/>
      <c r="R20" s="120"/>
      <c r="S20" s="125"/>
      <c r="T20" s="125"/>
      <c r="U20" s="98"/>
      <c r="V20" s="116"/>
      <c r="W20" s="117"/>
      <c r="X20" s="117">
        <f t="shared" si="2"/>
        <v>342.54086720000004</v>
      </c>
      <c r="Y20" s="135" t="s">
        <v>1230</v>
      </c>
    </row>
    <row r="21" spans="1:25" ht="36.75" hidden="1" customHeight="1">
      <c r="A21" s="469"/>
      <c r="B21" s="469"/>
      <c r="C21" s="469"/>
      <c r="D21" s="106">
        <v>16</v>
      </c>
      <c r="E21" s="106" t="s">
        <v>42</v>
      </c>
      <c r="F21" s="116"/>
      <c r="G21" s="116"/>
      <c r="H21" s="116"/>
      <c r="I21" s="116"/>
      <c r="J21" s="116">
        <f t="shared" si="0"/>
        <v>0</v>
      </c>
      <c r="K21" s="116"/>
      <c r="L21" s="116"/>
      <c r="M21" s="106"/>
      <c r="N21" s="116"/>
      <c r="O21" s="116"/>
      <c r="P21" s="116">
        <f t="shared" si="1"/>
        <v>0</v>
      </c>
      <c r="Q21" s="116"/>
      <c r="R21" s="116"/>
      <c r="S21" s="116"/>
      <c r="T21" s="116"/>
      <c r="U21" s="106"/>
      <c r="V21" s="116"/>
      <c r="W21" s="117"/>
      <c r="X21" s="117">
        <f t="shared" si="2"/>
        <v>0</v>
      </c>
      <c r="Y21" s="135"/>
    </row>
    <row r="22" spans="1:25" ht="47.25">
      <c r="A22" s="469"/>
      <c r="B22" s="469"/>
      <c r="C22" s="469"/>
      <c r="D22" s="106">
        <v>17</v>
      </c>
      <c r="E22" s="106" t="s">
        <v>43</v>
      </c>
      <c r="F22" s="120"/>
      <c r="G22" s="120"/>
      <c r="H22" s="120"/>
      <c r="I22" s="120"/>
      <c r="J22" s="116">
        <f t="shared" si="0"/>
        <v>0</v>
      </c>
      <c r="K22" s="122"/>
      <c r="L22" s="423">
        <f>36.04+1484.01</f>
        <v>1520.05</v>
      </c>
      <c r="M22" s="127"/>
      <c r="N22" s="120"/>
      <c r="O22" s="120"/>
      <c r="P22" s="116">
        <f t="shared" si="1"/>
        <v>0</v>
      </c>
      <c r="Q22" s="120"/>
      <c r="R22" s="120"/>
      <c r="S22" s="121"/>
      <c r="T22" s="121"/>
      <c r="U22" s="169"/>
      <c r="V22" s="121"/>
      <c r="W22" s="117"/>
      <c r="X22" s="117">
        <f t="shared" si="2"/>
        <v>1520.05</v>
      </c>
      <c r="Y22" s="135" t="s">
        <v>411</v>
      </c>
    </row>
    <row r="23" spans="1:25" ht="31.5" hidden="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69"/>
      <c r="V23" s="121"/>
      <c r="W23" s="117"/>
      <c r="X23" s="117">
        <f t="shared" si="2"/>
        <v>0</v>
      </c>
      <c r="Y23" s="135"/>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06"/>
      <c r="V24" s="120"/>
      <c r="W24" s="117"/>
      <c r="X24" s="117">
        <f t="shared" si="2"/>
        <v>0</v>
      </c>
      <c r="Y24" s="135"/>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06"/>
      <c r="V25" s="120"/>
      <c r="W25" s="117"/>
      <c r="X25" s="117">
        <f t="shared" si="2"/>
        <v>0</v>
      </c>
      <c r="Y25" s="135"/>
    </row>
    <row r="26" spans="1:25" ht="31.5">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c r="U26" s="106"/>
      <c r="V26" s="120"/>
      <c r="W26" s="117"/>
      <c r="X26" s="117">
        <f t="shared" si="2"/>
        <v>0</v>
      </c>
      <c r="Y26" s="180"/>
    </row>
    <row r="27" spans="1:25" ht="63">
      <c r="A27" s="469"/>
      <c r="B27" s="469"/>
      <c r="C27" s="469"/>
      <c r="D27" s="106">
        <v>22</v>
      </c>
      <c r="E27" s="106" t="s">
        <v>52</v>
      </c>
      <c r="F27" s="121"/>
      <c r="G27" s="120"/>
      <c r="H27" s="120"/>
      <c r="I27" s="121"/>
      <c r="J27" s="125">
        <f t="shared" si="0"/>
        <v>0</v>
      </c>
      <c r="K27" s="129"/>
      <c r="L27" s="129"/>
      <c r="M27" s="120"/>
      <c r="N27" s="120"/>
      <c r="O27" s="120"/>
      <c r="P27" s="116">
        <f t="shared" si="1"/>
        <v>0</v>
      </c>
      <c r="Q27" s="121"/>
      <c r="R27" s="121"/>
      <c r="S27" s="121"/>
      <c r="T27" s="121"/>
      <c r="U27" s="106"/>
      <c r="V27" s="120"/>
      <c r="W27" s="117"/>
      <c r="X27" s="117">
        <f t="shared" si="2"/>
        <v>0</v>
      </c>
      <c r="Y27" s="127"/>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06"/>
      <c r="V28" s="120"/>
      <c r="W28" s="117"/>
      <c r="X28" s="117">
        <f t="shared" si="2"/>
        <v>0</v>
      </c>
      <c r="Y28" s="300"/>
    </row>
    <row r="29" spans="1:25" ht="119.25" customHeight="1">
      <c r="A29" s="469"/>
      <c r="B29" s="469"/>
      <c r="C29" s="469"/>
      <c r="D29" s="106">
        <v>24</v>
      </c>
      <c r="E29" s="106" t="s">
        <v>56</v>
      </c>
      <c r="F29" s="120"/>
      <c r="G29" s="120"/>
      <c r="H29" s="120">
        <v>120</v>
      </c>
      <c r="I29" s="121"/>
      <c r="J29" s="125">
        <f t="shared" si="0"/>
        <v>120</v>
      </c>
      <c r="K29" s="120"/>
      <c r="L29" s="315">
        <f>10.78511+186.7</f>
        <v>197.48510999999999</v>
      </c>
      <c r="M29" s="98"/>
      <c r="N29" s="120"/>
      <c r="O29" s="120"/>
      <c r="P29" s="116">
        <f t="shared" si="1"/>
        <v>0</v>
      </c>
      <c r="Q29" s="120"/>
      <c r="R29" s="120"/>
      <c r="S29" s="120"/>
      <c r="T29" s="267"/>
      <c r="U29" s="329"/>
      <c r="V29" s="120"/>
      <c r="W29" s="117"/>
      <c r="X29" s="117">
        <f t="shared" si="2"/>
        <v>317.48510999999996</v>
      </c>
      <c r="Y29" s="135" t="s">
        <v>1034</v>
      </c>
    </row>
    <row r="30" spans="1:25" ht="36.75" customHeight="1">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c r="U30" s="106"/>
      <c r="V30" s="120"/>
      <c r="W30" s="117"/>
      <c r="X30" s="117">
        <f t="shared" si="2"/>
        <v>0</v>
      </c>
      <c r="Y30" s="180"/>
    </row>
    <row r="31" spans="1:25" ht="409.5">
      <c r="A31" s="469"/>
      <c r="B31" s="469"/>
      <c r="C31" s="469"/>
      <c r="D31" s="106">
        <v>26</v>
      </c>
      <c r="E31" s="106" t="s">
        <v>58</v>
      </c>
      <c r="F31" s="120"/>
      <c r="G31" s="120"/>
      <c r="H31" s="120"/>
      <c r="I31" s="120"/>
      <c r="J31" s="116">
        <f t="shared" si="0"/>
        <v>0</v>
      </c>
      <c r="K31" s="122"/>
      <c r="L31" s="122">
        <v>2.19</v>
      </c>
      <c r="M31" s="116"/>
      <c r="N31" s="120"/>
      <c r="O31" s="120">
        <f>49.63526+36.9224</f>
        <v>86.557659999999998</v>
      </c>
      <c r="P31" s="116">
        <f t="shared" si="1"/>
        <v>86.557659999999998</v>
      </c>
      <c r="Q31" s="115"/>
      <c r="R31" s="120"/>
      <c r="S31" s="120"/>
      <c r="T31" s="120">
        <v>3.85</v>
      </c>
      <c r="U31" s="97" t="s">
        <v>54</v>
      </c>
      <c r="V31" s="120"/>
      <c r="W31" s="117"/>
      <c r="X31" s="117">
        <f t="shared" si="2"/>
        <v>92.597659999999991</v>
      </c>
      <c r="Y31" s="135" t="s">
        <v>1235</v>
      </c>
    </row>
    <row r="32" spans="1:25" ht="42" customHeight="1">
      <c r="A32" s="469"/>
      <c r="B32" s="469"/>
      <c r="C32" s="469"/>
      <c r="D32" s="106">
        <v>27</v>
      </c>
      <c r="E32" s="106" t="s">
        <v>59</v>
      </c>
      <c r="F32" s="120"/>
      <c r="G32" s="120"/>
      <c r="H32" s="120"/>
      <c r="I32" s="121"/>
      <c r="J32" s="125">
        <f t="shared" si="0"/>
        <v>0</v>
      </c>
      <c r="K32" s="122"/>
      <c r="L32" s="134">
        <f>1.49028+701.963</f>
        <v>703.45327999999995</v>
      </c>
      <c r="M32" s="127"/>
      <c r="N32" s="120"/>
      <c r="O32" s="120"/>
      <c r="P32" s="116">
        <f t="shared" si="1"/>
        <v>0</v>
      </c>
      <c r="Q32" s="120"/>
      <c r="R32" s="120"/>
      <c r="S32" s="130"/>
      <c r="T32" s="130"/>
      <c r="U32" s="106"/>
      <c r="V32" s="120"/>
      <c r="W32" s="117"/>
      <c r="X32" s="117">
        <f t="shared" si="2"/>
        <v>703.45327999999995</v>
      </c>
      <c r="Y32" s="135" t="s">
        <v>1035</v>
      </c>
    </row>
    <row r="33" spans="1:25" ht="50.25" customHeight="1">
      <c r="A33" s="469"/>
      <c r="B33" s="469"/>
      <c r="C33" s="469"/>
      <c r="D33" s="106">
        <v>28</v>
      </c>
      <c r="E33" s="106" t="s">
        <v>30</v>
      </c>
      <c r="F33" s="120"/>
      <c r="G33" s="120"/>
      <c r="H33" s="120"/>
      <c r="I33" s="120"/>
      <c r="J33" s="116">
        <f t="shared" si="0"/>
        <v>0</v>
      </c>
      <c r="K33" s="120"/>
      <c r="L33" s="120"/>
      <c r="M33" s="120"/>
      <c r="N33" s="120"/>
      <c r="O33" s="122"/>
      <c r="P33" s="117">
        <f t="shared" si="1"/>
        <v>0</v>
      </c>
      <c r="Q33" s="122"/>
      <c r="R33" s="122"/>
      <c r="S33" s="120"/>
      <c r="T33" s="120"/>
      <c r="U33" s="106"/>
      <c r="V33" s="120"/>
      <c r="W33" s="117"/>
      <c r="X33" s="117">
        <f t="shared" si="2"/>
        <v>0</v>
      </c>
      <c r="Y33" s="135"/>
    </row>
    <row r="34" spans="1:25" ht="48" customHeight="1">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c r="U34" s="106"/>
      <c r="V34" s="120"/>
      <c r="W34" s="117"/>
      <c r="X34" s="117">
        <f t="shared" si="2"/>
        <v>0</v>
      </c>
      <c r="Y34" s="135"/>
    </row>
    <row r="35" spans="1:25" ht="409.5">
      <c r="A35" s="469"/>
      <c r="B35" s="469"/>
      <c r="C35" s="469"/>
      <c r="D35" s="106">
        <v>30</v>
      </c>
      <c r="E35" s="106" t="s">
        <v>60</v>
      </c>
      <c r="F35" s="120"/>
      <c r="G35" s="120"/>
      <c r="H35" s="120"/>
      <c r="I35" s="120"/>
      <c r="J35" s="116">
        <f t="shared" si="0"/>
        <v>0</v>
      </c>
      <c r="K35" s="122"/>
      <c r="L35" s="122">
        <f>10.36+42.58</f>
        <v>52.94</v>
      </c>
      <c r="N35" s="120"/>
      <c r="O35" s="120"/>
      <c r="P35" s="116">
        <f t="shared" si="1"/>
        <v>0</v>
      </c>
      <c r="Q35" s="120"/>
      <c r="R35" s="120"/>
      <c r="S35" s="120"/>
      <c r="T35" s="120"/>
      <c r="U35" s="106"/>
      <c r="V35" s="120"/>
      <c r="W35" s="117"/>
      <c r="X35" s="117">
        <f t="shared" si="2"/>
        <v>52.94</v>
      </c>
      <c r="Y35" s="135" t="s">
        <v>414</v>
      </c>
    </row>
    <row r="36" spans="1:25" ht="31.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06"/>
      <c r="V36" s="120"/>
      <c r="W36" s="117"/>
      <c r="X36" s="117">
        <f t="shared" si="2"/>
        <v>0</v>
      </c>
      <c r="Y36" s="180"/>
    </row>
    <row r="37" spans="1:25" ht="393.7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c r="U37" s="163"/>
      <c r="V37" s="122">
        <f>49.42-7</f>
        <v>42.42</v>
      </c>
      <c r="X37" s="117">
        <f t="shared" si="2"/>
        <v>42.42</v>
      </c>
      <c r="Y37" s="376" t="s">
        <v>1229</v>
      </c>
    </row>
    <row r="38" spans="1:25" ht="31.5">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v>202.99</v>
      </c>
      <c r="V38" s="116"/>
      <c r="W38" s="117"/>
      <c r="X38" s="117">
        <f t="shared" si="2"/>
        <v>202.99</v>
      </c>
      <c r="Y38" s="135" t="s">
        <v>415</v>
      </c>
    </row>
    <row r="39" spans="1:25" ht="78.75">
      <c r="A39" s="469"/>
      <c r="B39" s="469"/>
      <c r="C39" s="469"/>
      <c r="D39" s="106">
        <v>34</v>
      </c>
      <c r="E39" s="106" t="s">
        <v>65</v>
      </c>
      <c r="F39" s="116"/>
      <c r="G39" s="116"/>
      <c r="H39" s="116"/>
      <c r="I39" s="116"/>
      <c r="J39" s="116">
        <f t="shared" si="0"/>
        <v>0</v>
      </c>
      <c r="K39" s="116"/>
      <c r="L39" s="116">
        <v>12</v>
      </c>
      <c r="M39" s="116" t="s">
        <v>416</v>
      </c>
      <c r="N39" s="116"/>
      <c r="O39" s="116"/>
      <c r="P39" s="116">
        <f t="shared" si="1"/>
        <v>0</v>
      </c>
      <c r="Q39" s="116"/>
      <c r="R39" s="116"/>
      <c r="S39" s="125"/>
      <c r="T39" s="125">
        <f>46.67988+53.82</f>
        <v>100.49987999999999</v>
      </c>
      <c r="V39" s="116"/>
      <c r="W39" s="117"/>
      <c r="X39" s="117">
        <f t="shared" si="2"/>
        <v>112.49987999999999</v>
      </c>
      <c r="Y39" s="135" t="s">
        <v>417</v>
      </c>
    </row>
    <row r="40" spans="1:25" ht="31.5">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c r="U40" s="106"/>
      <c r="V40" s="116"/>
      <c r="W40" s="117"/>
      <c r="X40" s="117">
        <f t="shared" si="2"/>
        <v>0</v>
      </c>
      <c r="Y40" s="241"/>
    </row>
    <row r="41" spans="1:25" ht="94.5">
      <c r="A41" s="469"/>
      <c r="B41" s="469"/>
      <c r="C41" s="469"/>
      <c r="D41" s="106">
        <v>36</v>
      </c>
      <c r="E41" s="223" t="s">
        <v>70</v>
      </c>
      <c r="F41" s="116"/>
      <c r="G41" s="116"/>
      <c r="H41" s="116"/>
      <c r="I41" s="116"/>
      <c r="J41" s="116">
        <f t="shared" si="0"/>
        <v>0</v>
      </c>
      <c r="K41" s="116"/>
      <c r="L41" s="116"/>
      <c r="M41" s="116"/>
      <c r="N41" s="116"/>
      <c r="O41" s="117">
        <v>84.59</v>
      </c>
      <c r="P41" s="117">
        <f>O41</f>
        <v>84.59</v>
      </c>
      <c r="Q41" s="116"/>
      <c r="R41" s="116"/>
      <c r="S41" s="116"/>
      <c r="T41" s="116"/>
      <c r="U41" s="106"/>
      <c r="V41" s="116"/>
      <c r="W41" s="117"/>
      <c r="X41" s="117">
        <f t="shared" si="2"/>
        <v>84.59</v>
      </c>
      <c r="Y41" s="241" t="s">
        <v>1231</v>
      </c>
    </row>
    <row r="42" spans="1:25" ht="31.5">
      <c r="A42" s="469"/>
      <c r="B42" s="469"/>
      <c r="C42" s="469"/>
      <c r="D42" s="106">
        <v>37</v>
      </c>
      <c r="E42" s="106" t="s">
        <v>71</v>
      </c>
      <c r="F42" s="116"/>
      <c r="G42" s="116"/>
      <c r="H42" s="116"/>
      <c r="I42" s="116"/>
      <c r="J42" s="116">
        <f t="shared" si="0"/>
        <v>0</v>
      </c>
      <c r="K42" s="116"/>
      <c r="L42" s="116"/>
      <c r="M42" s="116"/>
      <c r="N42" s="116"/>
      <c r="O42" s="117"/>
      <c r="P42" s="116"/>
      <c r="Q42" s="116"/>
      <c r="R42" s="116"/>
      <c r="S42" s="116"/>
      <c r="T42" s="116"/>
      <c r="U42" s="106"/>
      <c r="V42" s="116"/>
      <c r="W42" s="117"/>
      <c r="X42" s="117">
        <f t="shared" si="2"/>
        <v>0</v>
      </c>
      <c r="Y42" s="241"/>
    </row>
    <row r="43" spans="1:25" ht="33" customHeight="1">
      <c r="A43" s="469"/>
      <c r="B43" s="469"/>
      <c r="C43" s="469"/>
      <c r="D43" s="106">
        <v>38</v>
      </c>
      <c r="E43" s="155" t="s">
        <v>72</v>
      </c>
      <c r="F43" s="116"/>
      <c r="G43" s="116"/>
      <c r="H43" s="116"/>
      <c r="I43" s="116"/>
      <c r="J43" s="116">
        <f t="shared" si="0"/>
        <v>0</v>
      </c>
      <c r="K43" s="116"/>
      <c r="L43" s="116"/>
      <c r="M43" s="116"/>
      <c r="N43" s="116"/>
      <c r="O43" s="116"/>
      <c r="P43" s="116">
        <f t="shared" ref="P43:P67" si="3">N43+O43</f>
        <v>0</v>
      </c>
      <c r="Q43" s="116"/>
      <c r="R43" s="116"/>
      <c r="S43" s="125"/>
      <c r="T43" s="125"/>
      <c r="U43" s="106"/>
      <c r="V43" s="116"/>
      <c r="W43" s="117"/>
      <c r="X43" s="117">
        <f t="shared" si="2"/>
        <v>0</v>
      </c>
      <c r="Y43" s="241"/>
    </row>
    <row r="44" spans="1:25" ht="47.25">
      <c r="A44" s="469"/>
      <c r="B44" s="469"/>
      <c r="C44" s="469"/>
      <c r="D44" s="106">
        <v>39</v>
      </c>
      <c r="E44" s="106" t="s">
        <v>74</v>
      </c>
      <c r="F44" s="116"/>
      <c r="G44" s="116"/>
      <c r="H44" s="116"/>
      <c r="I44" s="116"/>
      <c r="J44" s="116">
        <f t="shared" si="0"/>
        <v>0</v>
      </c>
      <c r="K44" s="116"/>
      <c r="L44" s="116"/>
      <c r="M44" s="116"/>
      <c r="N44" s="116"/>
      <c r="O44" s="116"/>
      <c r="P44" s="116">
        <f t="shared" si="3"/>
        <v>0</v>
      </c>
      <c r="Q44" s="116"/>
      <c r="R44" s="116"/>
      <c r="S44" s="125"/>
      <c r="T44" s="125"/>
      <c r="U44" s="106"/>
      <c r="V44" s="116"/>
      <c r="W44" s="117"/>
      <c r="X44" s="117">
        <f t="shared" si="2"/>
        <v>0</v>
      </c>
      <c r="Y44" s="241"/>
    </row>
    <row r="45" spans="1:25" ht="126">
      <c r="A45" s="469"/>
      <c r="B45" s="469"/>
      <c r="C45" s="469"/>
      <c r="D45" s="106">
        <v>40</v>
      </c>
      <c r="E45" s="106" t="s">
        <v>75</v>
      </c>
      <c r="F45" s="116"/>
      <c r="G45" s="116"/>
      <c r="H45" s="116"/>
      <c r="I45" s="116"/>
      <c r="J45" s="116">
        <f t="shared" si="0"/>
        <v>0</v>
      </c>
      <c r="K45" s="116"/>
      <c r="L45" s="116"/>
      <c r="M45" s="116"/>
      <c r="N45" s="116"/>
      <c r="O45" s="116"/>
      <c r="P45" s="116">
        <f t="shared" si="3"/>
        <v>0</v>
      </c>
      <c r="Q45" s="116"/>
      <c r="R45" s="116"/>
      <c r="S45" s="125"/>
      <c r="T45" s="125">
        <f>3.15</f>
        <v>3.15</v>
      </c>
      <c r="U45" s="106"/>
      <c r="V45" s="116"/>
      <c r="W45" s="117"/>
      <c r="X45" s="117">
        <f t="shared" si="2"/>
        <v>3.15</v>
      </c>
      <c r="Y45" s="241" t="s">
        <v>1232</v>
      </c>
    </row>
    <row r="46" spans="1:25" ht="31.5" hidden="1">
      <c r="A46" s="469"/>
      <c r="B46" s="469"/>
      <c r="C46" s="469"/>
      <c r="D46" s="106">
        <v>41</v>
      </c>
      <c r="E46" s="106" t="s">
        <v>44</v>
      </c>
      <c r="F46" s="116"/>
      <c r="G46" s="116"/>
      <c r="H46" s="116"/>
      <c r="I46" s="116"/>
      <c r="J46" s="116">
        <f t="shared" si="0"/>
        <v>0</v>
      </c>
      <c r="K46" s="116"/>
      <c r="L46" s="116"/>
      <c r="M46" s="116"/>
      <c r="N46" s="116"/>
      <c r="O46" s="116"/>
      <c r="P46" s="116">
        <f t="shared" si="3"/>
        <v>0</v>
      </c>
      <c r="Q46" s="116"/>
      <c r="R46" s="116"/>
      <c r="S46" s="116"/>
      <c r="T46" s="116"/>
      <c r="U46" s="106"/>
      <c r="V46" s="116"/>
      <c r="W46" s="117"/>
      <c r="X46" s="117">
        <f t="shared" si="2"/>
        <v>0</v>
      </c>
      <c r="Y46" s="241"/>
    </row>
    <row r="47" spans="1:25" ht="30.75" customHeight="1">
      <c r="A47" s="469"/>
      <c r="B47" s="476" t="s">
        <v>76</v>
      </c>
      <c r="C47" s="476" t="s">
        <v>77</v>
      </c>
      <c r="D47" s="106">
        <v>42</v>
      </c>
      <c r="E47" s="106" t="s">
        <v>78</v>
      </c>
      <c r="F47" s="424"/>
      <c r="G47" s="120" t="s">
        <v>350</v>
      </c>
      <c r="H47" s="120"/>
      <c r="I47" s="120"/>
      <c r="J47" s="116">
        <f t="shared" si="0"/>
        <v>0</v>
      </c>
      <c r="K47" s="122"/>
      <c r="L47" s="119">
        <v>424</v>
      </c>
      <c r="M47" s="116"/>
      <c r="N47" s="120"/>
      <c r="O47" s="120"/>
      <c r="P47" s="116">
        <f t="shared" si="3"/>
        <v>0</v>
      </c>
      <c r="Q47" s="120"/>
      <c r="R47" s="120"/>
      <c r="S47" s="121"/>
      <c r="T47" s="121"/>
      <c r="U47" s="106"/>
      <c r="V47" s="120"/>
      <c r="W47" s="117"/>
      <c r="X47" s="117">
        <f t="shared" si="2"/>
        <v>424</v>
      </c>
      <c r="Y47" s="135" t="s">
        <v>347</v>
      </c>
    </row>
    <row r="48" spans="1:25" ht="32.25" customHeight="1">
      <c r="A48" s="469"/>
      <c r="B48" s="469"/>
      <c r="C48" s="469"/>
      <c r="D48" s="106">
        <v>43</v>
      </c>
      <c r="E48" s="106" t="s">
        <v>79</v>
      </c>
      <c r="F48" s="424"/>
      <c r="G48" s="120" t="s">
        <v>350</v>
      </c>
      <c r="H48" s="120"/>
      <c r="I48" s="120"/>
      <c r="J48" s="116">
        <f t="shared" si="0"/>
        <v>0</v>
      </c>
      <c r="K48" s="122"/>
      <c r="L48" s="122"/>
      <c r="M48" s="120"/>
      <c r="N48" s="120"/>
      <c r="O48" s="120"/>
      <c r="P48" s="116">
        <f t="shared" si="3"/>
        <v>0</v>
      </c>
      <c r="Q48" s="120"/>
      <c r="R48" s="120"/>
      <c r="S48" s="121"/>
      <c r="T48" s="121"/>
      <c r="U48" s="106"/>
      <c r="V48" s="120"/>
      <c r="W48" s="117"/>
      <c r="X48" s="117">
        <f t="shared" si="2"/>
        <v>0</v>
      </c>
      <c r="Y48" s="135"/>
    </row>
    <row r="49" spans="1:25" ht="42.75" customHeight="1">
      <c r="A49" s="469"/>
      <c r="B49" s="469"/>
      <c r="C49" s="469"/>
      <c r="D49" s="106">
        <v>44</v>
      </c>
      <c r="E49" s="106" t="s">
        <v>80</v>
      </c>
      <c r="F49" s="424"/>
      <c r="G49" s="120"/>
      <c r="H49" s="120"/>
      <c r="I49" s="120"/>
      <c r="J49" s="116">
        <f t="shared" si="0"/>
        <v>0</v>
      </c>
      <c r="K49" s="122"/>
      <c r="L49" s="122"/>
      <c r="M49" s="120"/>
      <c r="N49" s="120"/>
      <c r="O49" s="120"/>
      <c r="P49" s="116">
        <f t="shared" si="3"/>
        <v>0</v>
      </c>
      <c r="Q49" s="120"/>
      <c r="R49" s="120"/>
      <c r="S49" s="121"/>
      <c r="T49" s="121"/>
      <c r="U49" s="106"/>
      <c r="V49" s="120"/>
      <c r="W49" s="117"/>
      <c r="X49" s="117">
        <f t="shared" si="2"/>
        <v>0</v>
      </c>
      <c r="Y49" s="135"/>
    </row>
    <row r="50" spans="1:25" ht="30.75" customHeight="1">
      <c r="A50" s="469"/>
      <c r="B50" s="469"/>
      <c r="C50" s="469"/>
      <c r="D50" s="106"/>
      <c r="E50" s="106" t="s">
        <v>81</v>
      </c>
      <c r="F50" s="424"/>
      <c r="G50" s="120"/>
      <c r="H50" s="120"/>
      <c r="I50" s="120"/>
      <c r="J50" s="116">
        <f t="shared" si="0"/>
        <v>0</v>
      </c>
      <c r="K50" s="120"/>
      <c r="L50" s="120"/>
      <c r="M50" s="120"/>
      <c r="N50" s="120"/>
      <c r="O50" s="120"/>
      <c r="P50" s="116">
        <f t="shared" si="3"/>
        <v>0</v>
      </c>
      <c r="Q50" s="120"/>
      <c r="R50" s="120"/>
      <c r="S50" s="120"/>
      <c r="T50" s="120"/>
      <c r="U50" s="106"/>
      <c r="V50" s="120"/>
      <c r="W50" s="117"/>
      <c r="X50" s="117">
        <f t="shared" si="2"/>
        <v>0</v>
      </c>
      <c r="Y50" s="135"/>
    </row>
    <row r="51" spans="1:25" ht="31.5">
      <c r="A51" s="469"/>
      <c r="B51" s="469"/>
      <c r="C51" s="469"/>
      <c r="D51" s="106">
        <v>46</v>
      </c>
      <c r="E51" s="106" t="s">
        <v>82</v>
      </c>
      <c r="F51" s="120"/>
      <c r="G51" s="120"/>
      <c r="H51" s="120"/>
      <c r="I51" s="120"/>
      <c r="J51" s="116">
        <f t="shared" si="0"/>
        <v>0</v>
      </c>
      <c r="K51" s="120"/>
      <c r="L51" s="120"/>
      <c r="M51" s="120"/>
      <c r="N51" s="120"/>
      <c r="O51" s="120"/>
      <c r="P51" s="116">
        <f t="shared" si="3"/>
        <v>0</v>
      </c>
      <c r="Q51" s="120"/>
      <c r="R51" s="120"/>
      <c r="S51" s="120"/>
      <c r="T51" s="120"/>
      <c r="U51" s="106"/>
      <c r="V51" s="120"/>
      <c r="W51" s="117"/>
      <c r="X51" s="117">
        <f t="shared" si="2"/>
        <v>0</v>
      </c>
      <c r="Y51" s="135"/>
    </row>
    <row r="52" spans="1:25" ht="31.5">
      <c r="A52" s="469"/>
      <c r="B52" s="469"/>
      <c r="C52" s="469"/>
      <c r="D52" s="106">
        <v>47</v>
      </c>
      <c r="E52" s="106" t="s">
        <v>83</v>
      </c>
      <c r="F52" s="424">
        <v>48.3</v>
      </c>
      <c r="H52" s="120"/>
      <c r="I52" s="120"/>
      <c r="J52" s="116">
        <f t="shared" si="0"/>
        <v>0</v>
      </c>
      <c r="K52" s="120"/>
      <c r="L52" s="120"/>
      <c r="M52" s="120"/>
      <c r="N52" s="120"/>
      <c r="O52" s="120"/>
      <c r="P52" s="116">
        <f t="shared" si="3"/>
        <v>0</v>
      </c>
      <c r="Q52" s="120"/>
      <c r="R52" s="120"/>
      <c r="S52" s="120"/>
      <c r="T52" s="120"/>
      <c r="U52" s="106"/>
      <c r="V52" s="120"/>
      <c r="W52" s="117"/>
      <c r="X52" s="117">
        <f t="shared" si="2"/>
        <v>48.3</v>
      </c>
      <c r="Y52" s="336" t="s">
        <v>418</v>
      </c>
    </row>
    <row r="53" spans="1:25" ht="15.75">
      <c r="A53" s="469"/>
      <c r="B53" s="469"/>
      <c r="C53" s="469"/>
      <c r="D53" s="106">
        <v>48</v>
      </c>
      <c r="E53" s="106" t="s">
        <v>84</v>
      </c>
      <c r="F53" s="120"/>
      <c r="G53" s="120"/>
      <c r="H53" s="120"/>
      <c r="I53" s="120"/>
      <c r="J53" s="116">
        <f t="shared" si="0"/>
        <v>0</v>
      </c>
      <c r="K53" s="120"/>
      <c r="L53" s="120"/>
      <c r="M53" s="120"/>
      <c r="N53" s="120"/>
      <c r="O53" s="120"/>
      <c r="P53" s="116">
        <f t="shared" si="3"/>
        <v>0</v>
      </c>
      <c r="Q53" s="120"/>
      <c r="R53" s="120"/>
      <c r="S53" s="121"/>
      <c r="T53" s="121"/>
      <c r="U53" s="106"/>
      <c r="V53" s="120"/>
      <c r="W53" s="117"/>
      <c r="X53" s="117">
        <f t="shared" si="2"/>
        <v>0</v>
      </c>
      <c r="Y53" s="135"/>
    </row>
    <row r="54" spans="1:25" ht="47.25">
      <c r="A54" s="469"/>
      <c r="B54" s="469"/>
      <c r="C54" s="469"/>
      <c r="D54" s="106">
        <v>49</v>
      </c>
      <c r="E54" s="106" t="s">
        <v>85</v>
      </c>
      <c r="F54" s="120"/>
      <c r="G54" s="120"/>
      <c r="H54" s="120"/>
      <c r="I54" s="120"/>
      <c r="J54" s="116">
        <f t="shared" si="0"/>
        <v>0</v>
      </c>
      <c r="K54" s="120"/>
      <c r="L54" s="120"/>
      <c r="M54" s="120"/>
      <c r="N54" s="120"/>
      <c r="O54" s="120"/>
      <c r="P54" s="116">
        <f t="shared" si="3"/>
        <v>0</v>
      </c>
      <c r="Q54" s="120"/>
      <c r="R54" s="120"/>
      <c r="S54" s="120"/>
      <c r="T54" s="120"/>
      <c r="U54" s="106"/>
      <c r="V54" s="120"/>
      <c r="W54" s="117"/>
      <c r="X54" s="117">
        <f t="shared" si="2"/>
        <v>0</v>
      </c>
      <c r="Y54" s="180"/>
    </row>
    <row r="55" spans="1:25" ht="31.5">
      <c r="A55" s="469"/>
      <c r="B55" s="469"/>
      <c r="C55" s="469"/>
      <c r="D55" s="106">
        <v>50</v>
      </c>
      <c r="E55" s="106" t="s">
        <v>86</v>
      </c>
      <c r="F55" s="120"/>
      <c r="G55" s="120"/>
      <c r="H55" s="120"/>
      <c r="I55" s="120"/>
      <c r="J55" s="116">
        <f t="shared" si="0"/>
        <v>0</v>
      </c>
      <c r="K55" s="122"/>
      <c r="L55" s="122"/>
      <c r="M55" s="120"/>
      <c r="N55" s="120"/>
      <c r="O55" s="120">
        <v>5</v>
      </c>
      <c r="P55" s="116">
        <f t="shared" si="3"/>
        <v>5</v>
      </c>
      <c r="R55" s="120"/>
      <c r="S55" s="121"/>
      <c r="T55" s="121"/>
      <c r="U55" s="106"/>
      <c r="V55" s="120"/>
      <c r="W55" s="117"/>
      <c r="X55" s="117">
        <f t="shared" si="2"/>
        <v>5</v>
      </c>
      <c r="Y55" s="135" t="s">
        <v>419</v>
      </c>
    </row>
    <row r="56" spans="1:25" ht="31.5" hidden="1">
      <c r="A56" s="469"/>
      <c r="B56" s="469"/>
      <c r="C56" s="469"/>
      <c r="D56" s="106">
        <v>51</v>
      </c>
      <c r="E56" s="106" t="s">
        <v>44</v>
      </c>
      <c r="F56" s="120"/>
      <c r="G56" s="120"/>
      <c r="H56" s="120"/>
      <c r="I56" s="120"/>
      <c r="J56" s="116">
        <f t="shared" si="0"/>
        <v>0</v>
      </c>
      <c r="K56" s="120"/>
      <c r="L56" s="120"/>
      <c r="M56" s="120"/>
      <c r="N56" s="120"/>
      <c r="O56" s="120"/>
      <c r="P56" s="116">
        <f t="shared" si="3"/>
        <v>0</v>
      </c>
      <c r="Q56" s="120"/>
      <c r="R56" s="120"/>
      <c r="S56" s="120"/>
      <c r="T56" s="120"/>
      <c r="U56" s="106"/>
      <c r="V56" s="120"/>
      <c r="W56" s="117"/>
      <c r="X56" s="117">
        <f t="shared" si="2"/>
        <v>0</v>
      </c>
      <c r="Y56" s="135"/>
    </row>
    <row r="57" spans="1:25" ht="409.5">
      <c r="A57" s="469"/>
      <c r="B57" s="476" t="s">
        <v>87</v>
      </c>
      <c r="C57" s="476" t="s">
        <v>88</v>
      </c>
      <c r="D57" s="106">
        <v>52</v>
      </c>
      <c r="E57" s="106" t="s">
        <v>89</v>
      </c>
      <c r="F57" s="120"/>
      <c r="G57" s="120"/>
      <c r="H57" s="120"/>
      <c r="I57" s="120"/>
      <c r="J57" s="116">
        <f t="shared" si="0"/>
        <v>0</v>
      </c>
      <c r="K57" s="122"/>
      <c r="L57" s="122"/>
      <c r="M57" s="120"/>
      <c r="N57" s="120"/>
      <c r="O57" s="122">
        <f>174.1+171.89+202.93+202.93+57.98</f>
        <v>809.83000000000015</v>
      </c>
      <c r="P57" s="117">
        <f t="shared" si="3"/>
        <v>809.83000000000015</v>
      </c>
      <c r="Q57" s="180"/>
      <c r="R57" s="120"/>
      <c r="S57" s="120"/>
      <c r="T57" s="120"/>
      <c r="U57" s="106"/>
      <c r="V57" s="120"/>
      <c r="W57" s="117"/>
      <c r="X57" s="117">
        <f t="shared" si="2"/>
        <v>809.83000000000015</v>
      </c>
      <c r="Y57" s="180" t="s">
        <v>420</v>
      </c>
    </row>
    <row r="58" spans="1:25" ht="78.75">
      <c r="A58" s="469"/>
      <c r="B58" s="469"/>
      <c r="C58" s="469"/>
      <c r="D58" s="106">
        <v>53</v>
      </c>
      <c r="E58" s="106" t="s">
        <v>90</v>
      </c>
      <c r="F58" s="120"/>
      <c r="G58" s="120"/>
      <c r="H58" s="120"/>
      <c r="I58" s="120"/>
      <c r="J58" s="116">
        <f t="shared" si="0"/>
        <v>0</v>
      </c>
      <c r="K58" s="120"/>
      <c r="L58" s="120"/>
      <c r="M58" s="120"/>
      <c r="N58" s="120"/>
      <c r="O58" s="122">
        <v>107.33</v>
      </c>
      <c r="P58" s="117">
        <f t="shared" si="3"/>
        <v>107.33</v>
      </c>
      <c r="Q58" s="115"/>
      <c r="R58" s="120"/>
      <c r="S58" s="120"/>
      <c r="T58" s="120"/>
      <c r="U58" s="106"/>
      <c r="V58" s="120"/>
      <c r="W58" s="117"/>
      <c r="X58" s="117">
        <f t="shared" si="2"/>
        <v>107.33</v>
      </c>
      <c r="Y58" s="135" t="s">
        <v>421</v>
      </c>
    </row>
    <row r="59" spans="1:25" ht="47.25">
      <c r="A59" s="469"/>
      <c r="B59" s="469"/>
      <c r="C59" s="469"/>
      <c r="D59" s="106">
        <v>54</v>
      </c>
      <c r="E59" s="106" t="s">
        <v>91</v>
      </c>
      <c r="F59" s="120"/>
      <c r="G59" s="120"/>
      <c r="H59" s="120"/>
      <c r="I59" s="121"/>
      <c r="J59" s="125">
        <f t="shared" si="0"/>
        <v>0</v>
      </c>
      <c r="K59" s="120"/>
      <c r="L59" s="120"/>
      <c r="M59" s="120"/>
      <c r="N59" s="120"/>
      <c r="O59" s="120"/>
      <c r="P59" s="116">
        <f t="shared" si="3"/>
        <v>0</v>
      </c>
      <c r="Q59" s="120"/>
      <c r="R59" s="120"/>
      <c r="S59" s="121"/>
      <c r="T59" s="121"/>
      <c r="U59" s="106"/>
      <c r="V59" s="120"/>
      <c r="W59" s="117"/>
      <c r="X59" s="117">
        <f t="shared" si="2"/>
        <v>0</v>
      </c>
      <c r="Y59" s="180"/>
    </row>
    <row r="60" spans="1:25" ht="110.25">
      <c r="A60" s="469"/>
      <c r="B60" s="469"/>
      <c r="C60" s="469"/>
      <c r="D60" s="106">
        <v>55</v>
      </c>
      <c r="E60" s="106" t="s">
        <v>93</v>
      </c>
      <c r="F60" s="120"/>
      <c r="G60" s="120"/>
      <c r="H60" s="120"/>
      <c r="I60" s="120"/>
      <c r="J60" s="116">
        <f t="shared" si="0"/>
        <v>0</v>
      </c>
      <c r="K60" s="120"/>
      <c r="L60" s="120"/>
      <c r="M60" s="120"/>
      <c r="N60" s="120"/>
      <c r="O60" s="122">
        <v>25.3</v>
      </c>
      <c r="P60" s="117">
        <f t="shared" si="3"/>
        <v>25.3</v>
      </c>
      <c r="Q60" s="115"/>
      <c r="R60" s="120"/>
      <c r="S60" s="120"/>
      <c r="T60" s="120"/>
      <c r="U60" s="106"/>
      <c r="V60" s="120"/>
      <c r="W60" s="117"/>
      <c r="X60" s="117">
        <f t="shared" si="2"/>
        <v>25.3</v>
      </c>
      <c r="Y60" s="135" t="s">
        <v>422</v>
      </c>
    </row>
    <row r="61" spans="1:25" ht="31.5">
      <c r="A61" s="469"/>
      <c r="B61" s="469"/>
      <c r="C61" s="469"/>
      <c r="D61" s="106">
        <v>56</v>
      </c>
      <c r="E61" s="106" t="s">
        <v>94</v>
      </c>
      <c r="F61" s="120"/>
      <c r="G61" s="120"/>
      <c r="H61" s="120"/>
      <c r="I61" s="120"/>
      <c r="J61" s="116">
        <f t="shared" si="0"/>
        <v>0</v>
      </c>
      <c r="K61" s="120"/>
      <c r="L61" s="120"/>
      <c r="M61" s="120"/>
      <c r="N61" s="120"/>
      <c r="O61" s="120"/>
      <c r="P61" s="116">
        <f t="shared" si="3"/>
        <v>0</v>
      </c>
      <c r="Q61" s="120"/>
      <c r="R61" s="120"/>
      <c r="S61" s="120"/>
      <c r="T61" s="120"/>
      <c r="U61" s="106"/>
      <c r="V61" s="120"/>
      <c r="W61" s="117"/>
      <c r="X61" s="117">
        <f t="shared" si="2"/>
        <v>0</v>
      </c>
      <c r="Y61" s="180"/>
    </row>
    <row r="62" spans="1:25" ht="31.5">
      <c r="A62" s="469"/>
      <c r="B62" s="469"/>
      <c r="C62" s="469"/>
      <c r="D62" s="106">
        <v>57</v>
      </c>
      <c r="E62" s="106" t="s">
        <v>95</v>
      </c>
      <c r="F62" s="120"/>
      <c r="G62" s="120"/>
      <c r="H62" s="120"/>
      <c r="I62" s="121"/>
      <c r="J62" s="125">
        <f t="shared" si="0"/>
        <v>0</v>
      </c>
      <c r="K62" s="120"/>
      <c r="L62" s="118">
        <v>31.13</v>
      </c>
      <c r="M62" s="116"/>
      <c r="N62" s="120"/>
      <c r="O62" s="120"/>
      <c r="P62" s="116">
        <f t="shared" si="3"/>
        <v>0</v>
      </c>
      <c r="Q62" s="121"/>
      <c r="R62" s="121"/>
      <c r="S62" s="120"/>
      <c r="T62" s="120"/>
      <c r="U62" s="106"/>
      <c r="V62" s="120"/>
      <c r="W62" s="117"/>
      <c r="X62" s="117">
        <f t="shared" si="2"/>
        <v>31.13</v>
      </c>
      <c r="Y62" s="300" t="s">
        <v>347</v>
      </c>
    </row>
    <row r="63" spans="1:25" ht="31.5">
      <c r="A63" s="469"/>
      <c r="B63" s="469"/>
      <c r="C63" s="469"/>
      <c r="D63" s="106">
        <v>58</v>
      </c>
      <c r="E63" s="106" t="s">
        <v>97</v>
      </c>
      <c r="F63" s="120"/>
      <c r="G63" s="120"/>
      <c r="H63" s="120"/>
      <c r="I63" s="120"/>
      <c r="J63" s="116">
        <f t="shared" si="0"/>
        <v>0</v>
      </c>
      <c r="K63" s="120"/>
      <c r="L63" s="120"/>
      <c r="M63" s="120"/>
      <c r="N63" s="120"/>
      <c r="O63" s="122"/>
      <c r="P63" s="117">
        <f t="shared" si="3"/>
        <v>0</v>
      </c>
      <c r="Q63" s="120"/>
      <c r="R63" s="120"/>
      <c r="S63" s="120"/>
      <c r="T63" s="120"/>
      <c r="U63" s="106"/>
      <c r="V63" s="120"/>
      <c r="W63" s="117"/>
      <c r="X63" s="117">
        <f t="shared" si="2"/>
        <v>0</v>
      </c>
      <c r="Y63" s="300"/>
    </row>
    <row r="64" spans="1:25" ht="15.75">
      <c r="A64" s="469"/>
      <c r="B64" s="469"/>
      <c r="C64" s="469"/>
      <c r="D64" s="106">
        <v>59</v>
      </c>
      <c r="E64" s="106" t="s">
        <v>98</v>
      </c>
      <c r="F64" s="120"/>
      <c r="G64" s="120"/>
      <c r="H64" s="120"/>
      <c r="I64" s="120"/>
      <c r="J64" s="116">
        <f t="shared" si="0"/>
        <v>0</v>
      </c>
      <c r="K64" s="120"/>
      <c r="L64" s="120"/>
      <c r="M64" s="120"/>
      <c r="N64" s="120"/>
      <c r="O64" s="120"/>
      <c r="P64" s="116">
        <f t="shared" si="3"/>
        <v>0</v>
      </c>
      <c r="Q64" s="120"/>
      <c r="R64" s="120"/>
      <c r="S64" s="120"/>
      <c r="T64" s="120"/>
      <c r="U64" s="106"/>
      <c r="V64" s="120"/>
      <c r="W64" s="117"/>
      <c r="X64" s="117">
        <f t="shared" si="2"/>
        <v>0</v>
      </c>
      <c r="Y64" s="135"/>
    </row>
    <row r="65" spans="1:25" ht="31.5">
      <c r="A65" s="469"/>
      <c r="B65" s="469"/>
      <c r="C65" s="469"/>
      <c r="D65" s="106">
        <v>60</v>
      </c>
      <c r="E65" s="106" t="s">
        <v>99</v>
      </c>
      <c r="F65" s="120"/>
      <c r="G65" s="120"/>
      <c r="H65" s="120"/>
      <c r="I65" s="120"/>
      <c r="J65" s="116">
        <f t="shared" si="0"/>
        <v>0</v>
      </c>
      <c r="K65" s="120"/>
      <c r="L65" s="120"/>
      <c r="M65" s="120"/>
      <c r="N65" s="120"/>
      <c r="O65" s="120"/>
      <c r="P65" s="116">
        <f t="shared" si="3"/>
        <v>0</v>
      </c>
      <c r="Q65" s="120"/>
      <c r="R65" s="120"/>
      <c r="S65" s="120"/>
      <c r="T65" s="120"/>
      <c r="U65" s="106"/>
      <c r="V65" s="120"/>
      <c r="W65" s="117"/>
      <c r="X65" s="117">
        <f t="shared" si="2"/>
        <v>0</v>
      </c>
      <c r="Y65" s="135"/>
    </row>
    <row r="66" spans="1:25" ht="31.5" hidden="1">
      <c r="A66" s="469"/>
      <c r="B66" s="469"/>
      <c r="C66" s="469"/>
      <c r="D66" s="106">
        <v>61</v>
      </c>
      <c r="E66" s="106" t="s">
        <v>44</v>
      </c>
      <c r="F66" s="120"/>
      <c r="G66" s="120"/>
      <c r="H66" s="120"/>
      <c r="I66" s="120"/>
      <c r="J66" s="116">
        <f t="shared" si="0"/>
        <v>0</v>
      </c>
      <c r="K66" s="120"/>
      <c r="L66" s="120"/>
      <c r="M66" s="120"/>
      <c r="N66" s="120"/>
      <c r="O66" s="120"/>
      <c r="P66" s="116">
        <f t="shared" si="3"/>
        <v>0</v>
      </c>
      <c r="Q66" s="120"/>
      <c r="R66" s="120"/>
      <c r="S66" s="120"/>
      <c r="T66" s="120"/>
      <c r="U66" s="106"/>
      <c r="V66" s="120"/>
      <c r="W66" s="117"/>
      <c r="X66" s="117">
        <f t="shared" si="2"/>
        <v>0</v>
      </c>
      <c r="Y66" s="135"/>
    </row>
    <row r="67" spans="1:25" ht="252">
      <c r="A67" s="469"/>
      <c r="B67" s="106" t="s">
        <v>100</v>
      </c>
      <c r="C67" s="106" t="s">
        <v>101</v>
      </c>
      <c r="D67" s="106">
        <v>62</v>
      </c>
      <c r="E67" s="106" t="s">
        <v>102</v>
      </c>
      <c r="F67" s="120"/>
      <c r="G67" s="120"/>
      <c r="H67" s="120"/>
      <c r="I67" s="120"/>
      <c r="J67" s="116">
        <f t="shared" si="0"/>
        <v>0</v>
      </c>
      <c r="K67" s="120"/>
      <c r="L67" s="120"/>
      <c r="M67" s="120"/>
      <c r="N67" s="120"/>
      <c r="O67" s="120"/>
      <c r="P67" s="116">
        <f t="shared" si="3"/>
        <v>0</v>
      </c>
      <c r="Q67" s="122"/>
      <c r="R67" s="122">
        <f>12+8</f>
        <v>20</v>
      </c>
      <c r="T67" s="121"/>
      <c r="U67" s="169"/>
      <c r="V67" s="121">
        <v>1</v>
      </c>
      <c r="W67" s="177"/>
      <c r="X67" s="117">
        <f t="shared" si="2"/>
        <v>21</v>
      </c>
      <c r="Y67" s="376" t="s">
        <v>1236</v>
      </c>
    </row>
    <row r="68" spans="1:25" ht="47.25" customHeight="1">
      <c r="A68" s="469"/>
      <c r="B68" s="478" t="s">
        <v>103</v>
      </c>
      <c r="C68" s="469"/>
      <c r="D68" s="469"/>
      <c r="E68" s="99"/>
      <c r="F68" s="102">
        <f t="shared" ref="F68:W68" si="4">SUM(F6:F67)</f>
        <v>48.3</v>
      </c>
      <c r="G68" s="102">
        <f t="shared" si="4"/>
        <v>0</v>
      </c>
      <c r="H68" s="102">
        <f t="shared" si="4"/>
        <v>120</v>
      </c>
      <c r="I68" s="102">
        <f t="shared" si="4"/>
        <v>0</v>
      </c>
      <c r="J68" s="102">
        <f t="shared" si="4"/>
        <v>120</v>
      </c>
      <c r="K68" s="102">
        <f t="shared" si="4"/>
        <v>0</v>
      </c>
      <c r="L68" s="102">
        <f t="shared" si="4"/>
        <v>3285.7892572000005</v>
      </c>
      <c r="M68" s="102">
        <f t="shared" si="4"/>
        <v>0</v>
      </c>
      <c r="N68" s="102">
        <f t="shared" si="4"/>
        <v>0</v>
      </c>
      <c r="O68" s="102">
        <f t="shared" si="4"/>
        <v>1605.6334440000001</v>
      </c>
      <c r="P68" s="102">
        <f t="shared" si="4"/>
        <v>1605.6334440000001</v>
      </c>
      <c r="Q68" s="102">
        <f t="shared" si="4"/>
        <v>0</v>
      </c>
      <c r="R68" s="102">
        <f t="shared" si="4"/>
        <v>20</v>
      </c>
      <c r="S68" s="102">
        <f t="shared" si="4"/>
        <v>0</v>
      </c>
      <c r="T68" s="102">
        <f t="shared" si="4"/>
        <v>310.48987999999997</v>
      </c>
      <c r="U68" s="102">
        <f t="shared" si="4"/>
        <v>0</v>
      </c>
      <c r="V68" s="102">
        <f t="shared" si="4"/>
        <v>43.42</v>
      </c>
      <c r="W68" s="102">
        <f t="shared" si="4"/>
        <v>0</v>
      </c>
      <c r="X68" s="102">
        <f t="shared" si="2"/>
        <v>5433.6325812000005</v>
      </c>
      <c r="Y68" s="180"/>
    </row>
    <row r="69" spans="1:25" s="270" customFormat="1" ht="81.75" customHeight="1">
      <c r="A69" s="477" t="s">
        <v>104</v>
      </c>
      <c r="B69" s="106" t="s">
        <v>105</v>
      </c>
      <c r="C69" s="106" t="s">
        <v>106</v>
      </c>
      <c r="D69" s="106">
        <v>63</v>
      </c>
      <c r="E69" s="106" t="s">
        <v>107</v>
      </c>
      <c r="F69" s="120">
        <v>0</v>
      </c>
      <c r="G69" s="120">
        <v>0</v>
      </c>
      <c r="H69" s="120">
        <v>0</v>
      </c>
      <c r="I69" s="120">
        <v>0</v>
      </c>
      <c r="J69" s="116">
        <v>0</v>
      </c>
      <c r="K69" s="120"/>
      <c r="L69" s="120">
        <v>0</v>
      </c>
      <c r="M69" s="120"/>
      <c r="N69" s="120">
        <v>0</v>
      </c>
      <c r="O69" s="120">
        <v>0</v>
      </c>
      <c r="P69" s="116">
        <v>0</v>
      </c>
      <c r="Q69" s="121"/>
      <c r="R69" s="121">
        <v>0</v>
      </c>
      <c r="S69" s="122"/>
      <c r="T69" s="122"/>
      <c r="U69" s="169"/>
      <c r="V69" s="125">
        <v>1</v>
      </c>
      <c r="W69" s="117" t="s">
        <v>423</v>
      </c>
      <c r="X69" s="117">
        <f t="shared" si="2"/>
        <v>1</v>
      </c>
      <c r="Y69" s="180" t="s">
        <v>964</v>
      </c>
    </row>
    <row r="70" spans="1:25" ht="78.75">
      <c r="A70" s="469"/>
      <c r="B70" s="476" t="s">
        <v>108</v>
      </c>
      <c r="C70" s="476" t="s">
        <v>109</v>
      </c>
      <c r="D70" s="106">
        <v>64</v>
      </c>
      <c r="E70" s="106" t="s">
        <v>110</v>
      </c>
      <c r="F70" s="120"/>
      <c r="G70" s="120"/>
      <c r="H70" s="120"/>
      <c r="I70" s="121"/>
      <c r="J70" s="125">
        <f t="shared" ref="J70:J79" si="5">H70+I70</f>
        <v>0</v>
      </c>
      <c r="K70" s="122"/>
      <c r="L70" s="122"/>
      <c r="M70" s="166"/>
      <c r="N70" s="120">
        <v>0</v>
      </c>
      <c r="O70" s="122">
        <f>0.06+16.62</f>
        <v>16.68</v>
      </c>
      <c r="P70" s="117">
        <f t="shared" ref="P70:P78" si="6">N70+O70</f>
        <v>16.68</v>
      </c>
      <c r="Q70" s="166"/>
      <c r="R70" s="120">
        <v>0</v>
      </c>
      <c r="S70" s="122"/>
      <c r="T70" s="122">
        <v>0.9</v>
      </c>
      <c r="U70" s="169"/>
      <c r="V70" s="121"/>
      <c r="W70" s="117"/>
      <c r="X70" s="117">
        <f t="shared" si="2"/>
        <v>17.579999999999998</v>
      </c>
      <c r="Y70" s="180" t="s">
        <v>1075</v>
      </c>
    </row>
    <row r="71" spans="1:25" ht="157.5">
      <c r="A71" s="469"/>
      <c r="B71" s="469"/>
      <c r="C71" s="469"/>
      <c r="D71" s="106">
        <v>65</v>
      </c>
      <c r="E71" s="106" t="s">
        <v>111</v>
      </c>
      <c r="F71" s="120"/>
      <c r="G71" s="120"/>
      <c r="H71" s="120"/>
      <c r="I71" s="120"/>
      <c r="J71" s="116">
        <f t="shared" si="5"/>
        <v>0</v>
      </c>
      <c r="K71" s="120"/>
      <c r="L71" s="120"/>
      <c r="M71" s="120"/>
      <c r="N71" s="120"/>
      <c r="O71" s="120"/>
      <c r="P71" s="116">
        <f t="shared" si="6"/>
        <v>0</v>
      </c>
      <c r="Q71" s="120"/>
      <c r="R71" s="120"/>
      <c r="S71" s="121"/>
      <c r="T71" s="121">
        <v>0.25</v>
      </c>
      <c r="U71" s="169"/>
      <c r="V71" s="121"/>
      <c r="W71" s="117"/>
      <c r="X71" s="117">
        <f t="shared" si="2"/>
        <v>0.25</v>
      </c>
      <c r="Y71" s="135" t="s">
        <v>1076</v>
      </c>
    </row>
    <row r="72" spans="1:25" ht="173.25">
      <c r="A72" s="469"/>
      <c r="B72" s="469"/>
      <c r="C72" s="469"/>
      <c r="D72" s="106">
        <v>66</v>
      </c>
      <c r="E72" s="106" t="s">
        <v>112</v>
      </c>
      <c r="F72" s="120"/>
      <c r="G72" s="120"/>
      <c r="H72" s="120"/>
      <c r="I72" s="120"/>
      <c r="J72" s="116">
        <f t="shared" si="5"/>
        <v>0</v>
      </c>
      <c r="K72" s="120"/>
      <c r="L72" s="120"/>
      <c r="M72" s="120"/>
      <c r="N72" s="120">
        <v>0</v>
      </c>
      <c r="O72" s="122">
        <v>8.5</v>
      </c>
      <c r="P72" s="117">
        <f t="shared" si="6"/>
        <v>8.5</v>
      </c>
      <c r="Q72" s="166"/>
      <c r="R72" s="120"/>
      <c r="S72" s="121"/>
      <c r="T72" s="121">
        <v>0.5</v>
      </c>
      <c r="U72" s="106"/>
      <c r="V72" s="120"/>
      <c r="W72" s="117"/>
      <c r="X72" s="117">
        <f t="shared" si="2"/>
        <v>9</v>
      </c>
      <c r="Y72" s="180" t="s">
        <v>1077</v>
      </c>
    </row>
    <row r="73" spans="1:25" ht="74.25" customHeight="1">
      <c r="A73" s="469"/>
      <c r="B73" s="469"/>
      <c r="C73" s="469"/>
      <c r="D73" s="106">
        <v>67</v>
      </c>
      <c r="E73" s="106" t="s">
        <v>113</v>
      </c>
      <c r="F73" s="120"/>
      <c r="G73" s="120"/>
      <c r="H73" s="120"/>
      <c r="I73" s="120"/>
      <c r="J73" s="116">
        <f t="shared" si="5"/>
        <v>0</v>
      </c>
      <c r="K73" s="120"/>
      <c r="L73" s="120"/>
      <c r="M73" s="120"/>
      <c r="N73" s="120"/>
      <c r="O73" s="122">
        <f>43.8+61.52</f>
        <v>105.32</v>
      </c>
      <c r="P73" s="117">
        <f t="shared" si="6"/>
        <v>105.32</v>
      </c>
      <c r="Q73" s="166"/>
      <c r="R73" s="120">
        <v>12</v>
      </c>
      <c r="S73" s="121"/>
      <c r="T73" s="121">
        <v>0.6</v>
      </c>
      <c r="U73" s="169"/>
      <c r="V73" s="121">
        <v>0</v>
      </c>
      <c r="W73" s="117"/>
      <c r="X73" s="117">
        <f t="shared" si="2"/>
        <v>117.91999999999999</v>
      </c>
      <c r="Y73" s="180" t="s">
        <v>1078</v>
      </c>
    </row>
    <row r="74" spans="1:25" ht="24" customHeight="1">
      <c r="A74" s="469"/>
      <c r="B74" s="469"/>
      <c r="C74" s="469"/>
      <c r="D74" s="106">
        <v>68</v>
      </c>
      <c r="E74" s="106" t="s">
        <v>114</v>
      </c>
      <c r="F74" s="121"/>
      <c r="G74" s="120"/>
      <c r="H74" s="120"/>
      <c r="I74" s="120"/>
      <c r="J74" s="116">
        <f t="shared" si="5"/>
        <v>0</v>
      </c>
      <c r="K74" s="122"/>
      <c r="L74" s="122"/>
      <c r="M74" s="120"/>
      <c r="N74" s="120"/>
      <c r="O74" s="122"/>
      <c r="P74" s="117">
        <f t="shared" si="6"/>
        <v>0</v>
      </c>
      <c r="Q74" s="120"/>
      <c r="R74" s="120"/>
      <c r="S74" s="121"/>
      <c r="T74" s="121"/>
      <c r="U74" s="169"/>
      <c r="V74" s="121"/>
      <c r="W74" s="117"/>
      <c r="X74" s="117">
        <f t="shared" si="2"/>
        <v>0</v>
      </c>
      <c r="Y74" s="180"/>
    </row>
    <row r="75" spans="1:25" ht="50.25" customHeight="1">
      <c r="A75" s="469"/>
      <c r="B75" s="476" t="s">
        <v>115</v>
      </c>
      <c r="C75" s="476" t="s">
        <v>116</v>
      </c>
      <c r="D75" s="106">
        <v>69</v>
      </c>
      <c r="E75" s="106" t="s">
        <v>117</v>
      </c>
      <c r="F75" s="138"/>
      <c r="G75" s="138"/>
      <c r="H75" s="138"/>
      <c r="I75" s="138"/>
      <c r="J75" s="116">
        <f t="shared" si="5"/>
        <v>0</v>
      </c>
      <c r="K75" s="138"/>
      <c r="L75" s="138"/>
      <c r="M75" s="138"/>
      <c r="N75" s="138"/>
      <c r="O75" s="138"/>
      <c r="P75" s="116">
        <f t="shared" si="6"/>
        <v>0</v>
      </c>
      <c r="Q75" s="140"/>
      <c r="R75" s="140"/>
      <c r="S75" s="140"/>
      <c r="T75" s="140">
        <v>2</v>
      </c>
      <c r="U75" s="174"/>
      <c r="V75" s="138"/>
      <c r="W75" s="117"/>
      <c r="X75" s="117">
        <f t="shared" si="2"/>
        <v>2</v>
      </c>
      <c r="Y75" s="445" t="s">
        <v>928</v>
      </c>
    </row>
    <row r="76" spans="1:25" ht="31.5">
      <c r="A76" s="469"/>
      <c r="B76" s="469"/>
      <c r="C76" s="469"/>
      <c r="D76" s="106">
        <v>70</v>
      </c>
      <c r="E76" s="106" t="s">
        <v>118</v>
      </c>
      <c r="F76" s="140"/>
      <c r="G76" s="138"/>
      <c r="H76" s="138"/>
      <c r="I76" s="138"/>
      <c r="J76" s="116">
        <f t="shared" si="5"/>
        <v>0</v>
      </c>
      <c r="K76" s="142"/>
      <c r="L76" s="142"/>
      <c r="M76" s="138"/>
      <c r="N76" s="138"/>
      <c r="O76" s="138"/>
      <c r="P76" s="116">
        <f t="shared" si="6"/>
        <v>0</v>
      </c>
      <c r="Q76" s="138"/>
      <c r="R76" s="138"/>
      <c r="S76" s="140"/>
      <c r="T76" s="140"/>
      <c r="U76" s="174"/>
      <c r="V76" s="138"/>
      <c r="W76" s="117"/>
      <c r="X76" s="117">
        <f t="shared" si="2"/>
        <v>0</v>
      </c>
      <c r="Y76" s="180"/>
    </row>
    <row r="77" spans="1:25" ht="15.75">
      <c r="A77" s="469"/>
      <c r="B77" s="469"/>
      <c r="C77" s="469"/>
      <c r="D77" s="106">
        <v>71</v>
      </c>
      <c r="E77" s="106" t="s">
        <v>119</v>
      </c>
      <c r="F77" s="138"/>
      <c r="G77" s="138"/>
      <c r="H77" s="138"/>
      <c r="I77" s="138"/>
      <c r="J77" s="116">
        <f t="shared" si="5"/>
        <v>0</v>
      </c>
      <c r="K77" s="138"/>
      <c r="L77" s="138"/>
      <c r="M77" s="138"/>
      <c r="N77" s="138"/>
      <c r="O77" s="138"/>
      <c r="P77" s="116">
        <f t="shared" si="6"/>
        <v>0</v>
      </c>
      <c r="Q77" s="138"/>
      <c r="R77" s="138"/>
      <c r="S77" s="138"/>
      <c r="T77" s="138"/>
      <c r="U77" s="174"/>
      <c r="V77" s="138"/>
      <c r="W77" s="117"/>
      <c r="X77" s="117">
        <f t="shared" si="2"/>
        <v>0</v>
      </c>
      <c r="Y77" s="180"/>
    </row>
    <row r="78" spans="1:25" ht="31.5">
      <c r="A78" s="469"/>
      <c r="B78" s="469"/>
      <c r="C78" s="469"/>
      <c r="D78" s="106">
        <v>72</v>
      </c>
      <c r="E78" s="106" t="s">
        <v>120</v>
      </c>
      <c r="F78" s="138"/>
      <c r="G78" s="138"/>
      <c r="H78" s="138"/>
      <c r="I78" s="143"/>
      <c r="J78" s="116">
        <f t="shared" si="5"/>
        <v>0</v>
      </c>
      <c r="K78" s="143"/>
      <c r="L78" s="143"/>
      <c r="M78" s="143"/>
      <c r="N78" s="143"/>
      <c r="O78" s="144"/>
      <c r="P78" s="145">
        <f t="shared" si="6"/>
        <v>0</v>
      </c>
      <c r="Q78" s="146"/>
      <c r="R78" s="146"/>
      <c r="S78" s="125"/>
      <c r="T78" s="125"/>
      <c r="U78" s="106"/>
      <c r="V78" s="143"/>
      <c r="W78" s="117"/>
      <c r="X78" s="117">
        <f t="shared" si="2"/>
        <v>0</v>
      </c>
      <c r="Y78" s="180"/>
    </row>
    <row r="79" spans="1:25" ht="409.5">
      <c r="A79" s="469"/>
      <c r="B79" s="476" t="s">
        <v>121</v>
      </c>
      <c r="C79" s="476" t="s">
        <v>122</v>
      </c>
      <c r="D79" s="106">
        <v>73</v>
      </c>
      <c r="E79" s="106" t="s">
        <v>123</v>
      </c>
      <c r="F79" s="147"/>
      <c r="G79" s="147"/>
      <c r="H79" s="147">
        <v>350</v>
      </c>
      <c r="I79" s="147">
        <v>24.4</v>
      </c>
      <c r="J79" s="148">
        <f t="shared" si="5"/>
        <v>374.4</v>
      </c>
      <c r="K79" s="147"/>
      <c r="L79" s="147">
        <v>15.7</v>
      </c>
      <c r="M79" s="147"/>
      <c r="N79" s="147"/>
      <c r="O79" s="147">
        <f>12+144</f>
        <v>156</v>
      </c>
      <c r="P79" s="162">
        <f>O79</f>
        <v>156</v>
      </c>
      <c r="Q79" s="425"/>
      <c r="R79" s="147">
        <v>0</v>
      </c>
      <c r="S79" s="147"/>
      <c r="T79" s="147">
        <v>2.5</v>
      </c>
      <c r="U79" s="400"/>
      <c r="V79" s="147">
        <v>33.5</v>
      </c>
      <c r="W79" s="150"/>
      <c r="X79" s="117">
        <f t="shared" si="2"/>
        <v>582.09999999999991</v>
      </c>
      <c r="Y79" s="180" t="s">
        <v>1148</v>
      </c>
    </row>
    <row r="80" spans="1:25" ht="15.75">
      <c r="A80" s="469"/>
      <c r="B80" s="469"/>
      <c r="C80" s="469"/>
      <c r="D80" s="106">
        <v>74</v>
      </c>
      <c r="E80" s="106" t="s">
        <v>124</v>
      </c>
      <c r="F80" s="147"/>
      <c r="G80" s="147"/>
      <c r="H80" s="147"/>
      <c r="I80" s="150"/>
      <c r="J80" s="140">
        <v>0</v>
      </c>
      <c r="K80" s="150"/>
      <c r="L80" s="150">
        <v>0</v>
      </c>
      <c r="M80" s="150"/>
      <c r="N80" s="150"/>
      <c r="O80" s="150"/>
      <c r="P80" s="140">
        <v>0</v>
      </c>
      <c r="Q80" s="150"/>
      <c r="R80" s="150"/>
      <c r="S80" s="150"/>
      <c r="T80" s="150"/>
      <c r="U80" s="172"/>
      <c r="V80" s="150"/>
      <c r="W80" s="162"/>
      <c r="X80" s="117">
        <f t="shared" si="2"/>
        <v>0</v>
      </c>
      <c r="Y80" s="180"/>
    </row>
    <row r="81" spans="1:25" ht="220.5">
      <c r="A81" s="469"/>
      <c r="B81" s="469"/>
      <c r="C81" s="469"/>
      <c r="D81" s="106">
        <v>75</v>
      </c>
      <c r="E81" s="106" t="s">
        <v>125</v>
      </c>
      <c r="F81" s="147"/>
      <c r="G81" s="147"/>
      <c r="H81" s="147"/>
      <c r="I81" s="150"/>
      <c r="J81" s="140">
        <v>0</v>
      </c>
      <c r="K81" s="150"/>
      <c r="L81" s="150">
        <v>0</v>
      </c>
      <c r="M81" s="150"/>
      <c r="N81" s="150"/>
      <c r="O81" s="150"/>
      <c r="P81" s="140">
        <v>0</v>
      </c>
      <c r="Q81" s="150"/>
      <c r="R81" s="150">
        <v>137.25</v>
      </c>
      <c r="S81" s="147"/>
      <c r="T81" s="147">
        <v>2.5</v>
      </c>
      <c r="U81" s="172"/>
      <c r="V81" s="150"/>
      <c r="W81" s="162"/>
      <c r="X81" s="117">
        <f t="shared" si="2"/>
        <v>139.75</v>
      </c>
      <c r="Y81" s="180" t="s">
        <v>1149</v>
      </c>
    </row>
    <row r="82" spans="1:25" ht="157.5">
      <c r="A82" s="469"/>
      <c r="B82" s="469"/>
      <c r="C82" s="469"/>
      <c r="D82" s="106">
        <v>76</v>
      </c>
      <c r="E82" s="106" t="s">
        <v>126</v>
      </c>
      <c r="F82" s="150"/>
      <c r="G82" s="150"/>
      <c r="H82" s="150"/>
      <c r="I82" s="150"/>
      <c r="J82" s="140">
        <v>0</v>
      </c>
      <c r="K82" s="150"/>
      <c r="L82" s="150">
        <v>0</v>
      </c>
      <c r="M82" s="150"/>
      <c r="N82" s="150"/>
      <c r="O82" s="147">
        <v>25</v>
      </c>
      <c r="P82" s="149">
        <f>O82</f>
        <v>25</v>
      </c>
      <c r="Q82" s="147"/>
      <c r="R82" s="147">
        <v>74</v>
      </c>
      <c r="S82" s="172"/>
      <c r="T82" s="150"/>
      <c r="U82" s="172"/>
      <c r="V82" s="150"/>
      <c r="W82" s="162"/>
      <c r="X82" s="117">
        <f t="shared" si="2"/>
        <v>99</v>
      </c>
      <c r="Y82" s="180" t="s">
        <v>1150</v>
      </c>
    </row>
    <row r="83" spans="1:25" ht="409.5">
      <c r="A83" s="469"/>
      <c r="B83" s="469"/>
      <c r="C83" s="469"/>
      <c r="D83" s="106">
        <v>77</v>
      </c>
      <c r="E83" s="106" t="s">
        <v>127</v>
      </c>
      <c r="F83" s="147"/>
      <c r="G83" s="147"/>
      <c r="H83" s="147"/>
      <c r="I83" s="147">
        <v>11.5</v>
      </c>
      <c r="J83" s="148">
        <f>H83+I83</f>
        <v>11.5</v>
      </c>
      <c r="K83" s="147"/>
      <c r="L83" s="147">
        <v>200.5</v>
      </c>
      <c r="M83" s="172">
        <v>0</v>
      </c>
      <c r="N83" s="150"/>
      <c r="O83" s="147">
        <v>20</v>
      </c>
      <c r="P83" s="149">
        <f>O83</f>
        <v>20</v>
      </c>
      <c r="Q83" s="147"/>
      <c r="R83" s="147">
        <f>400+700+300+60</f>
        <v>1460</v>
      </c>
      <c r="S83" s="426"/>
      <c r="T83" s="150"/>
      <c r="U83" s="425"/>
      <c r="V83" s="147"/>
      <c r="W83" s="162"/>
      <c r="X83" s="117">
        <f t="shared" si="2"/>
        <v>1692</v>
      </c>
      <c r="Y83" s="180" t="s">
        <v>1151</v>
      </c>
    </row>
    <row r="84" spans="1:25" ht="31.5">
      <c r="A84" s="469"/>
      <c r="B84" s="469"/>
      <c r="C84" s="469"/>
      <c r="D84" s="106">
        <v>78</v>
      </c>
      <c r="E84" s="106" t="s">
        <v>128</v>
      </c>
      <c r="F84" s="150"/>
      <c r="G84" s="150"/>
      <c r="H84" s="150"/>
      <c r="I84" s="150"/>
      <c r="J84" s="116">
        <f>H84+I84</f>
        <v>0</v>
      </c>
      <c r="K84" s="150"/>
      <c r="L84" s="150"/>
      <c r="M84" s="150"/>
      <c r="N84" s="150"/>
      <c r="O84" s="150"/>
      <c r="P84" s="116">
        <f>N84+O84</f>
        <v>0</v>
      </c>
      <c r="Q84" s="150"/>
      <c r="R84" s="150"/>
      <c r="S84" s="150"/>
      <c r="T84" s="150"/>
      <c r="U84" s="172"/>
      <c r="V84" s="150"/>
      <c r="W84" s="117"/>
      <c r="X84" s="117">
        <f t="shared" si="2"/>
        <v>0</v>
      </c>
      <c r="Y84" s="180"/>
    </row>
    <row r="85" spans="1:25" ht="15" hidden="1" customHeight="1">
      <c r="A85" s="469"/>
      <c r="B85" s="469"/>
      <c r="C85" s="469"/>
      <c r="D85" s="106">
        <v>79</v>
      </c>
      <c r="E85" s="106" t="s">
        <v>44</v>
      </c>
      <c r="F85" s="151"/>
      <c r="G85" s="151"/>
      <c r="H85" s="151"/>
      <c r="I85" s="151"/>
      <c r="J85" s="116">
        <f t="shared" ref="J85:J92" si="7">H85+I85</f>
        <v>0</v>
      </c>
      <c r="K85" s="151"/>
      <c r="L85" s="151"/>
      <c r="M85" s="151"/>
      <c r="N85" s="151"/>
      <c r="O85" s="151"/>
      <c r="P85" s="116">
        <f t="shared" ref="P85:P92" si="8">N85+O85</f>
        <v>0</v>
      </c>
      <c r="Q85" s="151"/>
      <c r="R85" s="151"/>
      <c r="S85" s="151"/>
      <c r="T85" s="151"/>
      <c r="U85" s="98"/>
      <c r="V85" s="151"/>
      <c r="W85" s="117"/>
      <c r="X85" s="117">
        <f t="shared" si="2"/>
        <v>0</v>
      </c>
      <c r="Y85" s="135"/>
    </row>
    <row r="86" spans="1:25" ht="47.25">
      <c r="A86" s="469"/>
      <c r="B86" s="476" t="s">
        <v>129</v>
      </c>
      <c r="C86" s="476" t="s">
        <v>130</v>
      </c>
      <c r="D86" s="106">
        <v>80</v>
      </c>
      <c r="E86" s="106" t="s">
        <v>131</v>
      </c>
      <c r="F86" s="120"/>
      <c r="G86" s="120"/>
      <c r="H86" s="120"/>
      <c r="I86" s="120"/>
      <c r="J86" s="116">
        <f t="shared" si="7"/>
        <v>0</v>
      </c>
      <c r="K86" s="120"/>
      <c r="L86" s="120"/>
      <c r="M86" s="120"/>
      <c r="N86" s="120"/>
      <c r="O86" s="427">
        <v>9.66</v>
      </c>
      <c r="P86" s="145">
        <f t="shared" si="8"/>
        <v>9.66</v>
      </c>
      <c r="Q86" s="132"/>
      <c r="R86" s="122"/>
      <c r="S86" s="121"/>
      <c r="T86" s="130"/>
      <c r="U86" s="172"/>
      <c r="V86" s="120"/>
      <c r="W86" s="117"/>
      <c r="X86" s="117">
        <f t="shared" si="2"/>
        <v>9.66</v>
      </c>
      <c r="Y86" s="135" t="s">
        <v>960</v>
      </c>
    </row>
    <row r="87" spans="1:25" ht="87" customHeight="1">
      <c r="A87" s="469"/>
      <c r="B87" s="469"/>
      <c r="C87" s="469"/>
      <c r="D87" s="106">
        <v>81</v>
      </c>
      <c r="E87" s="106" t="s">
        <v>132</v>
      </c>
      <c r="F87" s="120"/>
      <c r="G87" s="120"/>
      <c r="H87" s="120"/>
      <c r="I87" s="120"/>
      <c r="J87" s="116">
        <f t="shared" si="7"/>
        <v>0</v>
      </c>
      <c r="K87" s="120"/>
      <c r="L87" s="120"/>
      <c r="M87" s="120"/>
      <c r="N87" s="120"/>
      <c r="O87" s="120">
        <v>82.08</v>
      </c>
      <c r="P87" s="116">
        <f t="shared" si="8"/>
        <v>82.08</v>
      </c>
      <c r="Q87" s="246" t="s">
        <v>347</v>
      </c>
      <c r="R87" s="258">
        <v>198.39</v>
      </c>
      <c r="S87" s="121" t="s">
        <v>424</v>
      </c>
      <c r="T87" s="130"/>
      <c r="U87" s="98"/>
      <c r="V87" s="120"/>
      <c r="W87" s="117"/>
      <c r="X87" s="117">
        <f t="shared" si="2"/>
        <v>280.46999999999997</v>
      </c>
      <c r="Y87" s="180" t="s">
        <v>1233</v>
      </c>
    </row>
    <row r="88" spans="1:25" ht="47.25">
      <c r="A88" s="469"/>
      <c r="B88" s="469"/>
      <c r="C88" s="469"/>
      <c r="D88" s="106">
        <v>82</v>
      </c>
      <c r="E88" s="174" t="s">
        <v>133</v>
      </c>
      <c r="F88" s="120"/>
      <c r="G88" s="120"/>
      <c r="H88" s="120"/>
      <c r="I88" s="120"/>
      <c r="J88" s="116">
        <f t="shared" si="7"/>
        <v>0</v>
      </c>
      <c r="K88" s="120"/>
      <c r="L88" s="120"/>
      <c r="M88" s="120"/>
      <c r="N88" s="120"/>
      <c r="O88" s="120"/>
      <c r="P88" s="116">
        <f t="shared" si="8"/>
        <v>0</v>
      </c>
      <c r="Q88" s="120"/>
      <c r="R88" s="120"/>
      <c r="S88" s="121"/>
      <c r="T88" s="121"/>
      <c r="U88" s="106"/>
      <c r="V88" s="120"/>
      <c r="W88" s="117"/>
      <c r="X88" s="117">
        <f t="shared" si="2"/>
        <v>0</v>
      </c>
      <c r="Y88" s="135"/>
    </row>
    <row r="89" spans="1:25" ht="141.75">
      <c r="A89" s="469"/>
      <c r="B89" s="469"/>
      <c r="C89" s="469"/>
      <c r="D89" s="106">
        <v>83</v>
      </c>
      <c r="E89" s="106" t="s">
        <v>134</v>
      </c>
      <c r="F89" s="120"/>
      <c r="G89" s="120"/>
      <c r="H89" s="120"/>
      <c r="I89" s="120"/>
      <c r="J89" s="116">
        <f t="shared" si="7"/>
        <v>0</v>
      </c>
      <c r="K89" s="120"/>
      <c r="L89" s="120"/>
      <c r="M89" s="120"/>
      <c r="N89" s="151"/>
      <c r="O89" s="258">
        <v>5.13</v>
      </c>
      <c r="P89" s="117">
        <f t="shared" si="8"/>
        <v>5.13</v>
      </c>
      <c r="Q89" s="428" t="s">
        <v>425</v>
      </c>
      <c r="R89" s="121"/>
      <c r="S89" s="121"/>
      <c r="T89" s="121"/>
      <c r="U89" s="106"/>
      <c r="V89" s="120"/>
      <c r="W89" s="117"/>
      <c r="X89" s="117">
        <f t="shared" si="2"/>
        <v>5.13</v>
      </c>
      <c r="Y89" s="135" t="s">
        <v>1234</v>
      </c>
    </row>
    <row r="90" spans="1:25" ht="78.75">
      <c r="A90" s="469"/>
      <c r="B90" s="106" t="s">
        <v>135</v>
      </c>
      <c r="C90" s="106" t="s">
        <v>136</v>
      </c>
      <c r="D90" s="106">
        <v>84</v>
      </c>
      <c r="E90" s="106" t="s">
        <v>137</v>
      </c>
      <c r="F90" s="120"/>
      <c r="G90" s="120"/>
      <c r="H90" s="120"/>
      <c r="I90" s="120"/>
      <c r="J90" s="116">
        <f t="shared" si="7"/>
        <v>0</v>
      </c>
      <c r="K90" s="122"/>
      <c r="L90" s="122"/>
      <c r="M90" s="120"/>
      <c r="N90" s="120"/>
      <c r="O90" s="122"/>
      <c r="P90" s="117">
        <f t="shared" si="8"/>
        <v>0</v>
      </c>
      <c r="Q90" s="120"/>
      <c r="R90" s="120"/>
      <c r="S90" s="120"/>
      <c r="T90" s="120"/>
      <c r="U90" s="106"/>
      <c r="V90" s="120"/>
      <c r="W90" s="117"/>
      <c r="X90" s="117">
        <f t="shared" si="2"/>
        <v>0</v>
      </c>
      <c r="Y90" s="135"/>
    </row>
    <row r="91" spans="1:25" ht="173.25">
      <c r="A91" s="469"/>
      <c r="B91" s="106" t="s">
        <v>138</v>
      </c>
      <c r="C91" s="106" t="s">
        <v>139</v>
      </c>
      <c r="D91" s="106">
        <v>85</v>
      </c>
      <c r="E91" s="106" t="s">
        <v>140</v>
      </c>
      <c r="F91" s="120"/>
      <c r="G91" s="120"/>
      <c r="H91" s="120"/>
      <c r="I91" s="120"/>
      <c r="J91" s="116">
        <f t="shared" si="7"/>
        <v>0</v>
      </c>
      <c r="K91" s="120"/>
      <c r="L91" s="120"/>
      <c r="M91" s="120"/>
      <c r="N91" s="120"/>
      <c r="O91" s="122"/>
      <c r="P91" s="117">
        <f t="shared" si="8"/>
        <v>0</v>
      </c>
      <c r="Q91" s="120"/>
      <c r="R91" s="120">
        <f>10+9.98</f>
        <v>19.98</v>
      </c>
      <c r="S91" s="116" t="s">
        <v>350</v>
      </c>
      <c r="T91" s="120">
        <v>0</v>
      </c>
      <c r="U91" s="106"/>
      <c r="V91" s="120">
        <v>3.6</v>
      </c>
      <c r="W91" s="117"/>
      <c r="X91" s="117">
        <f t="shared" si="2"/>
        <v>23.580000000000002</v>
      </c>
      <c r="Y91" s="135" t="s">
        <v>1242</v>
      </c>
    </row>
    <row r="92" spans="1:25" ht="94.5" hidden="1">
      <c r="A92" s="469"/>
      <c r="B92" s="106" t="s">
        <v>141</v>
      </c>
      <c r="C92" s="106" t="s">
        <v>44</v>
      </c>
      <c r="D92" s="106">
        <v>86</v>
      </c>
      <c r="E92" s="106" t="s">
        <v>142</v>
      </c>
      <c r="F92" s="116"/>
      <c r="G92" s="116"/>
      <c r="H92" s="116"/>
      <c r="I92" s="116"/>
      <c r="J92" s="116">
        <f t="shared" si="7"/>
        <v>0</v>
      </c>
      <c r="K92" s="116"/>
      <c r="L92" s="116"/>
      <c r="M92" s="116"/>
      <c r="N92" s="116"/>
      <c r="O92" s="116"/>
      <c r="P92" s="116">
        <f t="shared" si="8"/>
        <v>0</v>
      </c>
      <c r="Q92" s="116"/>
      <c r="R92" s="116"/>
      <c r="S92" s="116"/>
      <c r="T92" s="116"/>
      <c r="U92" s="106"/>
      <c r="V92" s="116"/>
      <c r="W92" s="117"/>
      <c r="X92" s="117">
        <f t="shared" si="2"/>
        <v>0</v>
      </c>
      <c r="Y92" s="135"/>
    </row>
    <row r="93" spans="1:25" ht="33.75" customHeight="1">
      <c r="A93" s="469"/>
      <c r="B93" s="476" t="s">
        <v>143</v>
      </c>
      <c r="C93" s="469"/>
      <c r="D93" s="469"/>
      <c r="E93" s="106"/>
      <c r="F93" s="102">
        <f t="shared" ref="F93:W93" si="9">SUM(F69:F92)</f>
        <v>0</v>
      </c>
      <c r="G93" s="102">
        <f t="shared" si="9"/>
        <v>0</v>
      </c>
      <c r="H93" s="102">
        <f t="shared" si="9"/>
        <v>350</v>
      </c>
      <c r="I93" s="102">
        <f t="shared" si="9"/>
        <v>35.9</v>
      </c>
      <c r="J93" s="102">
        <f t="shared" si="9"/>
        <v>385.9</v>
      </c>
      <c r="K93" s="102">
        <f t="shared" si="9"/>
        <v>0</v>
      </c>
      <c r="L93" s="102">
        <f t="shared" si="9"/>
        <v>216.2</v>
      </c>
      <c r="M93" s="102">
        <f t="shared" si="9"/>
        <v>0</v>
      </c>
      <c r="N93" s="102">
        <f t="shared" si="9"/>
        <v>0</v>
      </c>
      <c r="O93" s="102">
        <f t="shared" si="9"/>
        <v>428.37</v>
      </c>
      <c r="P93" s="102">
        <f t="shared" si="9"/>
        <v>428.37</v>
      </c>
      <c r="Q93" s="102">
        <f t="shared" si="9"/>
        <v>0</v>
      </c>
      <c r="R93" s="102">
        <f t="shared" si="9"/>
        <v>1901.62</v>
      </c>
      <c r="S93" s="102">
        <f t="shared" si="9"/>
        <v>0</v>
      </c>
      <c r="T93" s="102">
        <f t="shared" si="9"/>
        <v>9.25</v>
      </c>
      <c r="U93" s="102">
        <f t="shared" si="9"/>
        <v>0</v>
      </c>
      <c r="V93" s="102">
        <f t="shared" si="9"/>
        <v>38.1</v>
      </c>
      <c r="W93" s="102">
        <f t="shared" si="9"/>
        <v>0</v>
      </c>
      <c r="X93" s="102">
        <f t="shared" si="2"/>
        <v>2979.4399999999996</v>
      </c>
      <c r="Y93" s="446"/>
    </row>
    <row r="94" spans="1:25" ht="31.5">
      <c r="A94" s="477" t="s">
        <v>144</v>
      </c>
      <c r="B94" s="476" t="s">
        <v>145</v>
      </c>
      <c r="C94" s="476" t="s">
        <v>146</v>
      </c>
      <c r="D94" s="106">
        <v>87</v>
      </c>
      <c r="E94" s="106" t="s">
        <v>147</v>
      </c>
      <c r="F94" s="155"/>
      <c r="G94" s="155"/>
      <c r="H94" s="155"/>
      <c r="I94" s="155"/>
      <c r="J94" s="116">
        <f t="shared" ref="J94:J133" si="10">H94+I94</f>
        <v>0</v>
      </c>
      <c r="K94" s="155"/>
      <c r="L94" s="155"/>
      <c r="M94" s="155"/>
      <c r="N94" s="155"/>
      <c r="O94" s="122"/>
      <c r="P94" s="117">
        <f t="shared" ref="P94:P133" si="11">N94+O94</f>
        <v>0</v>
      </c>
      <c r="Q94" s="155"/>
      <c r="R94" s="155"/>
      <c r="S94" s="155"/>
      <c r="T94" s="155"/>
      <c r="U94" s="106"/>
      <c r="V94" s="155"/>
      <c r="W94" s="117"/>
      <c r="X94" s="117">
        <f t="shared" si="2"/>
        <v>0</v>
      </c>
      <c r="Y94" s="180"/>
    </row>
    <row r="95" spans="1:25" ht="31.5">
      <c r="A95" s="469"/>
      <c r="B95" s="469"/>
      <c r="C95" s="469"/>
      <c r="D95" s="106">
        <v>88</v>
      </c>
      <c r="E95" s="106" t="s">
        <v>148</v>
      </c>
      <c r="F95" s="155"/>
      <c r="G95" s="155"/>
      <c r="H95" s="155"/>
      <c r="I95" s="155"/>
      <c r="J95" s="116">
        <f t="shared" si="10"/>
        <v>0</v>
      </c>
      <c r="K95" s="155"/>
      <c r="L95" s="155"/>
      <c r="M95" s="155"/>
      <c r="N95" s="155"/>
      <c r="O95" s="155"/>
      <c r="P95" s="116">
        <f t="shared" si="11"/>
        <v>0</v>
      </c>
      <c r="Q95" s="155"/>
      <c r="R95" s="155"/>
      <c r="S95" s="158"/>
      <c r="T95" s="158"/>
      <c r="U95" s="106"/>
      <c r="V95" s="155"/>
      <c r="W95" s="117"/>
      <c r="X95" s="117">
        <f t="shared" si="2"/>
        <v>0</v>
      </c>
      <c r="Y95" s="180"/>
    </row>
    <row r="96" spans="1:25" ht="47.25">
      <c r="A96" s="469"/>
      <c r="B96" s="469"/>
      <c r="C96" s="469"/>
      <c r="D96" s="106">
        <v>89</v>
      </c>
      <c r="E96" s="106" t="s">
        <v>149</v>
      </c>
      <c r="F96" s="155"/>
      <c r="G96" s="155"/>
      <c r="H96" s="155"/>
      <c r="I96" s="155"/>
      <c r="J96" s="116">
        <f t="shared" si="10"/>
        <v>0</v>
      </c>
      <c r="K96" s="155"/>
      <c r="L96" s="155"/>
      <c r="M96" s="155"/>
      <c r="N96" s="155"/>
      <c r="O96" s="155"/>
      <c r="P96" s="116">
        <f t="shared" si="11"/>
        <v>0</v>
      </c>
      <c r="Q96" s="155"/>
      <c r="R96" s="155"/>
      <c r="S96" s="155"/>
      <c r="T96" s="155"/>
      <c r="U96" s="106"/>
      <c r="V96" s="155"/>
      <c r="W96" s="117"/>
      <c r="X96" s="117">
        <f t="shared" si="2"/>
        <v>0</v>
      </c>
      <c r="Y96" s="180"/>
    </row>
    <row r="97" spans="1:25" ht="47.25">
      <c r="A97" s="469"/>
      <c r="B97" s="469"/>
      <c r="C97" s="469"/>
      <c r="D97" s="106">
        <v>90</v>
      </c>
      <c r="E97" s="106" t="s">
        <v>150</v>
      </c>
      <c r="F97" s="155"/>
      <c r="G97" s="155"/>
      <c r="H97" s="155"/>
      <c r="I97" s="155"/>
      <c r="J97" s="116">
        <f t="shared" si="10"/>
        <v>0</v>
      </c>
      <c r="K97" s="155"/>
      <c r="L97" s="155"/>
      <c r="M97" s="155"/>
      <c r="N97" s="155"/>
      <c r="O97" s="155"/>
      <c r="P97" s="116">
        <f t="shared" si="11"/>
        <v>0</v>
      </c>
      <c r="Q97" s="155"/>
      <c r="R97" s="155"/>
      <c r="S97" s="158"/>
      <c r="T97" s="158"/>
      <c r="U97" s="106"/>
      <c r="V97" s="155"/>
      <c r="W97" s="117"/>
      <c r="X97" s="117">
        <f t="shared" si="2"/>
        <v>0</v>
      </c>
      <c r="Y97" s="180"/>
    </row>
    <row r="98" spans="1:25" ht="31.5">
      <c r="A98" s="469"/>
      <c r="B98" s="469"/>
      <c r="C98" s="469"/>
      <c r="D98" s="106">
        <v>91</v>
      </c>
      <c r="E98" s="106" t="s">
        <v>151</v>
      </c>
      <c r="F98" s="155"/>
      <c r="G98" s="120"/>
      <c r="H98" s="120"/>
      <c r="I98" s="120"/>
      <c r="J98" s="116">
        <f t="shared" si="10"/>
        <v>0</v>
      </c>
      <c r="K98" s="120"/>
      <c r="L98" s="120"/>
      <c r="M98" s="120"/>
      <c r="N98" s="120"/>
      <c r="O98" s="122"/>
      <c r="P98" s="117">
        <f t="shared" si="11"/>
        <v>0</v>
      </c>
      <c r="Q98" s="120"/>
      <c r="R98" s="120"/>
      <c r="S98" s="121"/>
      <c r="T98" s="121"/>
      <c r="U98" s="106"/>
      <c r="V98" s="155"/>
      <c r="W98" s="117"/>
      <c r="X98" s="117">
        <f t="shared" si="2"/>
        <v>0</v>
      </c>
      <c r="Y98" s="180"/>
    </row>
    <row r="99" spans="1:25" ht="47.25">
      <c r="A99" s="469"/>
      <c r="B99" s="469"/>
      <c r="C99" s="469"/>
      <c r="D99" s="106">
        <v>92</v>
      </c>
      <c r="E99" s="106" t="s">
        <v>152</v>
      </c>
      <c r="F99" s="155"/>
      <c r="G99" s="155"/>
      <c r="H99" s="155"/>
      <c r="I99" s="155"/>
      <c r="J99" s="116">
        <f t="shared" si="10"/>
        <v>0</v>
      </c>
      <c r="K99" s="155"/>
      <c r="L99" s="155"/>
      <c r="M99" s="155"/>
      <c r="N99" s="155"/>
      <c r="O99" s="155"/>
      <c r="P99" s="116">
        <f t="shared" si="11"/>
        <v>0</v>
      </c>
      <c r="Q99" s="155"/>
      <c r="R99" s="155"/>
      <c r="S99" s="158"/>
      <c r="T99" s="158"/>
      <c r="U99" s="106"/>
      <c r="V99" s="155"/>
      <c r="W99" s="117"/>
      <c r="X99" s="117">
        <f t="shared" si="2"/>
        <v>0</v>
      </c>
      <c r="Y99" s="180"/>
    </row>
    <row r="100" spans="1:25" ht="31.5">
      <c r="A100" s="469"/>
      <c r="B100" s="469"/>
      <c r="C100" s="469"/>
      <c r="D100" s="106">
        <v>93</v>
      </c>
      <c r="E100" s="106" t="s">
        <v>153</v>
      </c>
      <c r="F100" s="155"/>
      <c r="G100" s="155"/>
      <c r="H100" s="155"/>
      <c r="I100" s="155"/>
      <c r="J100" s="116">
        <f t="shared" si="10"/>
        <v>0</v>
      </c>
      <c r="K100" s="158"/>
      <c r="L100" s="158">
        <v>20</v>
      </c>
      <c r="M100" s="155"/>
      <c r="N100" s="155"/>
      <c r="O100" s="155"/>
      <c r="P100" s="116">
        <f t="shared" si="11"/>
        <v>0</v>
      </c>
      <c r="Q100" s="155"/>
      <c r="R100" s="155"/>
      <c r="S100" s="155"/>
      <c r="T100" s="155"/>
      <c r="U100" s="106"/>
      <c r="V100" s="155"/>
      <c r="W100" s="117"/>
      <c r="X100" s="117">
        <f t="shared" si="2"/>
        <v>20</v>
      </c>
      <c r="Y100" s="180" t="s">
        <v>347</v>
      </c>
    </row>
    <row r="101" spans="1:25" ht="31.5">
      <c r="A101" s="469"/>
      <c r="B101" s="469"/>
      <c r="C101" s="469"/>
      <c r="D101" s="106">
        <v>94</v>
      </c>
      <c r="E101" s="106" t="s">
        <v>154</v>
      </c>
      <c r="F101" s="155"/>
      <c r="G101" s="155"/>
      <c r="H101" s="155"/>
      <c r="I101" s="155"/>
      <c r="J101" s="116">
        <f t="shared" si="10"/>
        <v>0</v>
      </c>
      <c r="K101" s="158"/>
      <c r="L101" s="158">
        <v>35</v>
      </c>
      <c r="M101" s="155"/>
      <c r="N101" s="155"/>
      <c r="O101" s="155"/>
      <c r="P101" s="116">
        <f t="shared" si="11"/>
        <v>0</v>
      </c>
      <c r="Q101" s="155"/>
      <c r="R101" s="155"/>
      <c r="S101" s="155"/>
      <c r="T101" s="155"/>
      <c r="U101" s="106"/>
      <c r="V101" s="155"/>
      <c r="W101" s="117"/>
      <c r="X101" s="117">
        <f t="shared" si="2"/>
        <v>35</v>
      </c>
      <c r="Y101" s="180" t="s">
        <v>347</v>
      </c>
    </row>
    <row r="102" spans="1:25" ht="63">
      <c r="A102" s="469"/>
      <c r="B102" s="469"/>
      <c r="C102" s="469"/>
      <c r="D102" s="106">
        <v>95</v>
      </c>
      <c r="E102" s="106" t="s">
        <v>155</v>
      </c>
      <c r="F102" s="155"/>
      <c r="G102" s="155"/>
      <c r="H102" s="155"/>
      <c r="I102" s="158"/>
      <c r="J102" s="125">
        <f t="shared" si="10"/>
        <v>0</v>
      </c>
      <c r="K102" s="122"/>
      <c r="L102" s="122">
        <f>40+1057</f>
        <v>1097</v>
      </c>
      <c r="M102" s="155"/>
      <c r="N102" s="155"/>
      <c r="O102" s="155"/>
      <c r="P102" s="116">
        <f t="shared" si="11"/>
        <v>0</v>
      </c>
      <c r="Q102" s="155"/>
      <c r="R102" s="155"/>
      <c r="S102" s="155"/>
      <c r="T102" s="155"/>
      <c r="U102" s="106"/>
      <c r="V102" s="155"/>
      <c r="W102" s="117"/>
      <c r="X102" s="117">
        <f t="shared" si="2"/>
        <v>1097</v>
      </c>
      <c r="Y102" s="180" t="s">
        <v>663</v>
      </c>
    </row>
    <row r="103" spans="1:25" ht="31.5">
      <c r="A103" s="469"/>
      <c r="B103" s="469"/>
      <c r="C103" s="469"/>
      <c r="D103" s="106">
        <v>96</v>
      </c>
      <c r="E103" s="106" t="s">
        <v>156</v>
      </c>
      <c r="F103" s="155"/>
      <c r="G103" s="155"/>
      <c r="H103" s="155"/>
      <c r="I103" s="155"/>
      <c r="J103" s="116">
        <f t="shared" si="10"/>
        <v>0</v>
      </c>
      <c r="K103" s="155"/>
      <c r="L103" s="155"/>
      <c r="M103" s="155"/>
      <c r="N103" s="155"/>
      <c r="O103" s="155"/>
      <c r="P103" s="116">
        <f t="shared" si="11"/>
        <v>0</v>
      </c>
      <c r="Q103" s="155"/>
      <c r="R103" s="155"/>
      <c r="S103" s="120"/>
      <c r="T103" s="120">
        <v>0</v>
      </c>
      <c r="U103" s="106"/>
      <c r="V103" s="155"/>
      <c r="W103" s="117"/>
      <c r="X103" s="117">
        <f t="shared" si="2"/>
        <v>0</v>
      </c>
      <c r="Y103" s="180"/>
    </row>
    <row r="104" spans="1:25" ht="47.25">
      <c r="A104" s="469"/>
      <c r="B104" s="476" t="s">
        <v>158</v>
      </c>
      <c r="C104" s="476" t="s">
        <v>159</v>
      </c>
      <c r="D104" s="106">
        <v>97</v>
      </c>
      <c r="E104" s="106" t="s">
        <v>160</v>
      </c>
      <c r="F104" s="140"/>
      <c r="G104" s="140"/>
      <c r="H104" s="140"/>
      <c r="I104" s="140"/>
      <c r="J104" s="116">
        <f t="shared" si="10"/>
        <v>0</v>
      </c>
      <c r="K104" s="162"/>
      <c r="L104" s="162"/>
      <c r="M104" s="140"/>
      <c r="N104" s="140"/>
      <c r="O104" s="162"/>
      <c r="P104" s="117">
        <f t="shared" si="11"/>
        <v>0</v>
      </c>
      <c r="Q104" s="162"/>
      <c r="R104" s="162"/>
      <c r="S104" s="161"/>
      <c r="T104" s="161"/>
      <c r="U104" s="174"/>
      <c r="V104" s="140"/>
      <c r="W104" s="117"/>
      <c r="X104" s="117">
        <f t="shared" si="2"/>
        <v>0</v>
      </c>
      <c r="Y104" s="180"/>
    </row>
    <row r="105" spans="1:25" ht="31.5">
      <c r="A105" s="469"/>
      <c r="B105" s="469"/>
      <c r="C105" s="469"/>
      <c r="D105" s="106">
        <v>98</v>
      </c>
      <c r="E105" s="106" t="s">
        <v>44</v>
      </c>
      <c r="F105" s="140"/>
      <c r="G105" s="140"/>
      <c r="H105" s="140"/>
      <c r="I105" s="140"/>
      <c r="J105" s="116">
        <f t="shared" si="10"/>
        <v>0</v>
      </c>
      <c r="K105" s="140"/>
      <c r="L105" s="140"/>
      <c r="M105" s="140"/>
      <c r="N105" s="140"/>
      <c r="O105" s="140"/>
      <c r="P105" s="116">
        <f t="shared" si="11"/>
        <v>0</v>
      </c>
      <c r="Q105" s="140"/>
      <c r="R105" s="140"/>
      <c r="S105" s="140"/>
      <c r="T105" s="140">
        <f>86.56+2.16</f>
        <v>88.72</v>
      </c>
      <c r="U105" s="174"/>
      <c r="V105" s="140"/>
      <c r="W105" s="117"/>
      <c r="X105" s="117">
        <f t="shared" si="2"/>
        <v>88.72</v>
      </c>
      <c r="Y105" s="127" t="s">
        <v>1237</v>
      </c>
    </row>
    <row r="106" spans="1:25" ht="33.75" customHeight="1">
      <c r="A106" s="469"/>
      <c r="B106" s="476" t="s">
        <v>161</v>
      </c>
      <c r="C106" s="476" t="s">
        <v>162</v>
      </c>
      <c r="D106" s="106">
        <v>99</v>
      </c>
      <c r="E106" s="106" t="s">
        <v>163</v>
      </c>
      <c r="F106" s="140"/>
      <c r="G106" s="140"/>
      <c r="H106" s="140">
        <v>40</v>
      </c>
      <c r="I106" s="161"/>
      <c r="J106" s="125">
        <f t="shared" si="10"/>
        <v>40</v>
      </c>
      <c r="K106" s="162"/>
      <c r="L106" s="162"/>
      <c r="M106" s="140"/>
      <c r="N106" s="140"/>
      <c r="O106" s="140">
        <v>140</v>
      </c>
      <c r="P106" s="116">
        <f t="shared" si="11"/>
        <v>140</v>
      </c>
      <c r="Q106" s="140"/>
      <c r="R106" s="140"/>
      <c r="S106" s="140"/>
      <c r="T106" s="140"/>
      <c r="U106" s="174"/>
      <c r="V106" s="140"/>
      <c r="W106" s="117"/>
      <c r="X106" s="117">
        <f t="shared" si="2"/>
        <v>180</v>
      </c>
      <c r="Y106" s="127"/>
    </row>
    <row r="107" spans="1:25" ht="31.5">
      <c r="A107" s="469"/>
      <c r="B107" s="469"/>
      <c r="C107" s="469"/>
      <c r="D107" s="106">
        <v>100</v>
      </c>
      <c r="E107" s="106" t="s">
        <v>165</v>
      </c>
      <c r="F107" s="140"/>
      <c r="G107" s="140"/>
      <c r="H107" s="140"/>
      <c r="I107" s="140"/>
      <c r="J107" s="116">
        <f t="shared" si="10"/>
        <v>0</v>
      </c>
      <c r="K107" s="162"/>
      <c r="L107" s="162"/>
      <c r="M107" s="140"/>
      <c r="N107" s="140"/>
      <c r="O107" s="162"/>
      <c r="P107" s="117">
        <f t="shared" si="11"/>
        <v>0</v>
      </c>
      <c r="Q107" s="140"/>
      <c r="R107" s="140"/>
      <c r="S107" s="140"/>
      <c r="T107" s="140"/>
      <c r="U107" s="174"/>
      <c r="V107" s="140"/>
      <c r="W107" s="117"/>
      <c r="X107" s="117">
        <f t="shared" si="2"/>
        <v>0</v>
      </c>
      <c r="Y107" s="127"/>
    </row>
    <row r="108" spans="1:25" ht="31.5">
      <c r="A108" s="469"/>
      <c r="B108" s="469"/>
      <c r="C108" s="469"/>
      <c r="D108" s="106">
        <v>101</v>
      </c>
      <c r="E108" s="106" t="s">
        <v>166</v>
      </c>
      <c r="F108" s="140"/>
      <c r="G108" s="140"/>
      <c r="H108" s="140"/>
      <c r="I108" s="140"/>
      <c r="J108" s="116">
        <f t="shared" si="10"/>
        <v>0</v>
      </c>
      <c r="K108" s="140"/>
      <c r="L108" s="140"/>
      <c r="M108" s="140"/>
      <c r="N108" s="140"/>
      <c r="O108" s="140"/>
      <c r="P108" s="116">
        <f t="shared" si="11"/>
        <v>0</v>
      </c>
      <c r="Q108" s="140"/>
      <c r="R108" s="140"/>
      <c r="S108" s="140"/>
      <c r="T108" s="140"/>
      <c r="U108" s="174"/>
      <c r="V108" s="140"/>
      <c r="W108" s="117"/>
      <c r="X108" s="117">
        <f t="shared" si="2"/>
        <v>0</v>
      </c>
      <c r="Y108" s="127"/>
    </row>
    <row r="109" spans="1:25" ht="31.5">
      <c r="A109" s="469"/>
      <c r="B109" s="469"/>
      <c r="C109" s="469"/>
      <c r="D109" s="106">
        <v>102</v>
      </c>
      <c r="E109" s="106" t="s">
        <v>167</v>
      </c>
      <c r="F109" s="140"/>
      <c r="G109" s="140"/>
      <c r="H109" s="140"/>
      <c r="I109" s="140"/>
      <c r="J109" s="116">
        <f t="shared" si="10"/>
        <v>0</v>
      </c>
      <c r="K109" s="140"/>
      <c r="L109" s="140"/>
      <c r="M109" s="140"/>
      <c r="N109" s="140"/>
      <c r="O109" s="140"/>
      <c r="P109" s="116">
        <f t="shared" si="11"/>
        <v>0</v>
      </c>
      <c r="Q109" s="140"/>
      <c r="R109" s="140"/>
      <c r="S109" s="140"/>
      <c r="T109" s="140"/>
      <c r="U109" s="174"/>
      <c r="V109" s="140"/>
      <c r="W109" s="117"/>
      <c r="X109" s="117">
        <f t="shared" si="2"/>
        <v>0</v>
      </c>
      <c r="Y109" s="127"/>
    </row>
    <row r="110" spans="1:25" ht="31.5" hidden="1">
      <c r="A110" s="469"/>
      <c r="B110" s="469"/>
      <c r="C110" s="469"/>
      <c r="D110" s="106">
        <v>103</v>
      </c>
      <c r="E110" s="106" t="s">
        <v>44</v>
      </c>
      <c r="F110" s="140"/>
      <c r="G110" s="140"/>
      <c r="H110" s="140"/>
      <c r="I110" s="140"/>
      <c r="J110" s="116">
        <f t="shared" si="10"/>
        <v>0</v>
      </c>
      <c r="K110" s="140"/>
      <c r="L110" s="140"/>
      <c r="M110" s="140"/>
      <c r="N110" s="140"/>
      <c r="O110" s="140"/>
      <c r="P110" s="116">
        <f t="shared" si="11"/>
        <v>0</v>
      </c>
      <c r="Q110" s="140"/>
      <c r="R110" s="140"/>
      <c r="S110" s="161"/>
      <c r="T110" s="161"/>
      <c r="U110" s="429"/>
      <c r="V110" s="161"/>
      <c r="W110" s="117"/>
      <c r="X110" s="117">
        <f t="shared" si="2"/>
        <v>0</v>
      </c>
      <c r="Y110" s="180"/>
    </row>
    <row r="111" spans="1:25" ht="31.5">
      <c r="A111" s="469"/>
      <c r="B111" s="476" t="s">
        <v>168</v>
      </c>
      <c r="C111" s="476" t="s">
        <v>169</v>
      </c>
      <c r="D111" s="106">
        <v>104</v>
      </c>
      <c r="E111" s="106" t="s">
        <v>170</v>
      </c>
      <c r="F111" s="140"/>
      <c r="G111" s="140"/>
      <c r="H111" s="140"/>
      <c r="I111" s="140"/>
      <c r="J111" s="116">
        <f t="shared" si="10"/>
        <v>0</v>
      </c>
      <c r="K111" s="140"/>
      <c r="L111" s="140"/>
      <c r="M111" s="140"/>
      <c r="N111" s="140"/>
      <c r="O111" s="140"/>
      <c r="P111" s="116">
        <f t="shared" si="11"/>
        <v>0</v>
      </c>
      <c r="Q111" s="140"/>
      <c r="R111" s="140"/>
      <c r="S111" s="161"/>
      <c r="T111" s="161"/>
      <c r="U111" s="429"/>
      <c r="V111" s="161"/>
      <c r="W111" s="117"/>
      <c r="X111" s="117">
        <f t="shared" si="2"/>
        <v>0</v>
      </c>
      <c r="Y111" s="180"/>
    </row>
    <row r="112" spans="1:25" ht="31.5">
      <c r="A112" s="469"/>
      <c r="B112" s="469"/>
      <c r="C112" s="469"/>
      <c r="D112" s="106">
        <v>105</v>
      </c>
      <c r="E112" s="106" t="s">
        <v>171</v>
      </c>
      <c r="F112" s="140"/>
      <c r="G112" s="140"/>
      <c r="H112" s="140"/>
      <c r="I112" s="140"/>
      <c r="J112" s="116">
        <f t="shared" si="10"/>
        <v>0</v>
      </c>
      <c r="K112" s="140"/>
      <c r="L112" s="140"/>
      <c r="M112" s="140"/>
      <c r="N112" s="140"/>
      <c r="O112" s="140"/>
      <c r="P112" s="116">
        <f t="shared" si="11"/>
        <v>0</v>
      </c>
      <c r="Q112" s="140"/>
      <c r="R112" s="140"/>
      <c r="S112" s="162"/>
      <c r="T112" s="162"/>
      <c r="U112" s="174"/>
      <c r="V112" s="140"/>
      <c r="W112" s="117"/>
      <c r="X112" s="117">
        <f t="shared" si="2"/>
        <v>0</v>
      </c>
      <c r="Y112" s="180"/>
    </row>
    <row r="113" spans="1:25" s="269" customFormat="1" ht="78.75">
      <c r="A113" s="469"/>
      <c r="B113" s="469"/>
      <c r="C113" s="469"/>
      <c r="D113" s="106">
        <v>106</v>
      </c>
      <c r="E113" s="106" t="s">
        <v>172</v>
      </c>
      <c r="F113" s="120"/>
      <c r="G113" s="120"/>
      <c r="H113" s="120"/>
      <c r="I113" s="120"/>
      <c r="J113" s="116">
        <f t="shared" si="10"/>
        <v>0</v>
      </c>
      <c r="K113" s="122"/>
      <c r="L113" s="122">
        <v>23.4</v>
      </c>
      <c r="M113" s="120"/>
      <c r="N113" s="120"/>
      <c r="O113" s="120">
        <v>27</v>
      </c>
      <c r="P113" s="116">
        <f t="shared" si="11"/>
        <v>27</v>
      </c>
      <c r="Q113" s="120"/>
      <c r="R113" s="120"/>
      <c r="S113" s="121"/>
      <c r="T113" s="121"/>
      <c r="U113" s="98"/>
      <c r="V113" s="151"/>
      <c r="W113" s="117"/>
      <c r="X113" s="117">
        <f t="shared" si="2"/>
        <v>50.4</v>
      </c>
      <c r="Y113" s="180" t="s">
        <v>528</v>
      </c>
    </row>
    <row r="114" spans="1:25" ht="62.25" customHeight="1">
      <c r="A114" s="469"/>
      <c r="B114" s="476" t="s">
        <v>173</v>
      </c>
      <c r="C114" s="476" t="s">
        <v>174</v>
      </c>
      <c r="D114" s="106">
        <v>107</v>
      </c>
      <c r="E114" s="106" t="s">
        <v>175</v>
      </c>
      <c r="F114" s="140"/>
      <c r="G114" s="140"/>
      <c r="H114" s="140"/>
      <c r="I114" s="140"/>
      <c r="J114" s="116">
        <f t="shared" si="10"/>
        <v>0</v>
      </c>
      <c r="K114" s="162"/>
      <c r="L114" s="162">
        <f>40+14.38</f>
        <v>54.38</v>
      </c>
      <c r="M114" s="140"/>
      <c r="N114" s="140"/>
      <c r="O114" s="140">
        <v>1188</v>
      </c>
      <c r="P114" s="116">
        <f t="shared" si="11"/>
        <v>1188</v>
      </c>
      <c r="Q114" s="140"/>
      <c r="R114" s="140"/>
      <c r="S114" s="161"/>
      <c r="T114" s="161"/>
      <c r="U114" s="174"/>
      <c r="V114" s="140"/>
      <c r="W114" s="117"/>
      <c r="X114" s="117">
        <f t="shared" si="2"/>
        <v>1242.3800000000001</v>
      </c>
      <c r="Y114" s="180"/>
    </row>
    <row r="115" spans="1:25" ht="39" customHeight="1">
      <c r="A115" s="469"/>
      <c r="B115" s="469"/>
      <c r="C115" s="469"/>
      <c r="D115" s="106">
        <v>108</v>
      </c>
      <c r="E115" s="106" t="s">
        <v>176</v>
      </c>
      <c r="F115" s="140"/>
      <c r="G115" s="140"/>
      <c r="H115" s="140"/>
      <c r="I115" s="140"/>
      <c r="J115" s="116">
        <f t="shared" si="10"/>
        <v>0</v>
      </c>
      <c r="K115" s="162"/>
      <c r="L115" s="162"/>
      <c r="M115" s="140"/>
      <c r="N115" s="140"/>
      <c r="O115" s="140">
        <v>880</v>
      </c>
      <c r="P115" s="116">
        <f t="shared" si="11"/>
        <v>880</v>
      </c>
      <c r="Q115" s="140"/>
      <c r="R115" s="140"/>
      <c r="S115" s="161"/>
      <c r="T115" s="161"/>
      <c r="U115" s="174"/>
      <c r="V115" s="140"/>
      <c r="W115" s="117"/>
      <c r="X115" s="117">
        <f t="shared" si="2"/>
        <v>880</v>
      </c>
      <c r="Y115" s="180"/>
    </row>
    <row r="116" spans="1:25" ht="36" customHeight="1">
      <c r="A116" s="469"/>
      <c r="B116" s="469"/>
      <c r="C116" s="469"/>
      <c r="D116" s="106">
        <v>109</v>
      </c>
      <c r="E116" s="106" t="s">
        <v>177</v>
      </c>
      <c r="F116" s="140"/>
      <c r="G116" s="140"/>
      <c r="H116" s="140"/>
      <c r="I116" s="161"/>
      <c r="J116" s="125">
        <f t="shared" si="10"/>
        <v>0</v>
      </c>
      <c r="K116" s="162"/>
      <c r="L116" s="162"/>
      <c r="M116" s="140"/>
      <c r="N116" s="140"/>
      <c r="O116" s="140">
        <v>120</v>
      </c>
      <c r="P116" s="116">
        <f t="shared" si="11"/>
        <v>120</v>
      </c>
      <c r="Q116" s="140"/>
      <c r="R116" s="140"/>
      <c r="S116" s="140"/>
      <c r="T116" s="140"/>
      <c r="U116" s="174"/>
      <c r="V116" s="140"/>
      <c r="W116" s="117"/>
      <c r="X116" s="117">
        <f t="shared" si="2"/>
        <v>120</v>
      </c>
      <c r="Y116" s="127"/>
    </row>
    <row r="117" spans="1:25" ht="31.5">
      <c r="A117" s="469"/>
      <c r="B117" s="469"/>
      <c r="C117" s="469"/>
      <c r="D117" s="106">
        <v>110</v>
      </c>
      <c r="E117" s="106" t="s">
        <v>178</v>
      </c>
      <c r="F117" s="140"/>
      <c r="G117" s="140"/>
      <c r="H117" s="140"/>
      <c r="I117" s="140"/>
      <c r="J117" s="116">
        <f t="shared" si="10"/>
        <v>0</v>
      </c>
      <c r="K117" s="162"/>
      <c r="L117" s="162"/>
      <c r="M117" s="140"/>
      <c r="N117" s="140"/>
      <c r="O117" s="140">
        <f>1377.5+46.85</f>
        <v>1424.35</v>
      </c>
      <c r="P117" s="116">
        <f t="shared" si="11"/>
        <v>1424.35</v>
      </c>
      <c r="Q117" s="161"/>
      <c r="R117" s="161"/>
      <c r="S117" s="162"/>
      <c r="T117" s="162"/>
      <c r="U117" s="174"/>
      <c r="V117" s="140"/>
      <c r="W117" s="117"/>
      <c r="X117" s="117">
        <f t="shared" si="2"/>
        <v>1424.35</v>
      </c>
      <c r="Y117" s="180"/>
    </row>
    <row r="118" spans="1:25" ht="31.5">
      <c r="A118" s="469"/>
      <c r="B118" s="469"/>
      <c r="C118" s="469"/>
      <c r="D118" s="106">
        <v>111</v>
      </c>
      <c r="E118" s="106" t="s">
        <v>44</v>
      </c>
      <c r="F118" s="140"/>
      <c r="G118" s="140"/>
      <c r="H118" s="140">
        <v>20</v>
      </c>
      <c r="I118" s="140"/>
      <c r="J118" s="116">
        <f t="shared" si="10"/>
        <v>20</v>
      </c>
      <c r="K118" s="161"/>
      <c r="L118" s="161"/>
      <c r="M118" s="140"/>
      <c r="N118" s="140"/>
      <c r="O118" s="140"/>
      <c r="P118" s="116">
        <f t="shared" si="11"/>
        <v>0</v>
      </c>
      <c r="Q118" s="140"/>
      <c r="R118" s="140"/>
      <c r="S118" s="161"/>
      <c r="T118" s="161"/>
      <c r="U118" s="429"/>
      <c r="V118" s="161"/>
      <c r="W118" s="117"/>
      <c r="X118" s="117">
        <f t="shared" si="2"/>
        <v>20</v>
      </c>
      <c r="Y118" s="127"/>
    </row>
    <row r="119" spans="1:25" ht="15.75">
      <c r="A119" s="469"/>
      <c r="B119" s="476" t="s">
        <v>179</v>
      </c>
      <c r="C119" s="476" t="s">
        <v>180</v>
      </c>
      <c r="D119" s="106">
        <v>112</v>
      </c>
      <c r="E119" s="106" t="s">
        <v>181</v>
      </c>
      <c r="F119" s="140"/>
      <c r="G119" s="140"/>
      <c r="H119" s="140"/>
      <c r="I119" s="140"/>
      <c r="J119" s="116">
        <f t="shared" si="10"/>
        <v>0</v>
      </c>
      <c r="K119" s="162"/>
      <c r="L119" s="162">
        <f>63.8</f>
        <v>63.8</v>
      </c>
      <c r="M119" s="140"/>
      <c r="N119" s="140"/>
      <c r="O119" s="140">
        <v>50</v>
      </c>
      <c r="P119" s="116">
        <f t="shared" si="11"/>
        <v>50</v>
      </c>
      <c r="Q119" s="140"/>
      <c r="R119" s="140"/>
      <c r="S119" s="140"/>
      <c r="T119" s="140"/>
      <c r="U119" s="174"/>
      <c r="V119" s="140"/>
      <c r="W119" s="117"/>
      <c r="X119" s="117">
        <f t="shared" si="2"/>
        <v>113.8</v>
      </c>
      <c r="Y119" s="127"/>
    </row>
    <row r="120" spans="1:25" ht="31.5">
      <c r="A120" s="469"/>
      <c r="B120" s="469"/>
      <c r="C120" s="469"/>
      <c r="D120" s="106">
        <v>113</v>
      </c>
      <c r="E120" s="106" t="s">
        <v>182</v>
      </c>
      <c r="F120" s="140"/>
      <c r="G120" s="140"/>
      <c r="H120" s="140"/>
      <c r="I120" s="140"/>
      <c r="J120" s="116">
        <f t="shared" si="10"/>
        <v>0</v>
      </c>
      <c r="K120" s="162"/>
      <c r="L120" s="162"/>
      <c r="M120" s="140"/>
      <c r="N120" s="140"/>
      <c r="O120" s="162"/>
      <c r="P120" s="117">
        <f t="shared" si="11"/>
        <v>0</v>
      </c>
      <c r="Q120" s="162"/>
      <c r="R120" s="162"/>
      <c r="S120" s="140"/>
      <c r="T120" s="140"/>
      <c r="U120" s="174"/>
      <c r="V120" s="140"/>
      <c r="W120" s="117"/>
      <c r="X120" s="117">
        <f t="shared" si="2"/>
        <v>0</v>
      </c>
      <c r="Y120" s="127"/>
    </row>
    <row r="121" spans="1:25" ht="49.5" customHeight="1">
      <c r="A121" s="469"/>
      <c r="B121" s="106" t="s">
        <v>183</v>
      </c>
      <c r="C121" s="106" t="s">
        <v>184</v>
      </c>
      <c r="D121" s="106">
        <v>114</v>
      </c>
      <c r="E121" s="106" t="s">
        <v>185</v>
      </c>
      <c r="F121" s="140"/>
      <c r="G121" s="140"/>
      <c r="H121" s="140"/>
      <c r="I121" s="161"/>
      <c r="J121" s="125">
        <f t="shared" si="10"/>
        <v>0</v>
      </c>
      <c r="K121" s="140"/>
      <c r="L121" s="140"/>
      <c r="M121" s="140"/>
      <c r="N121" s="140"/>
      <c r="O121" s="140"/>
      <c r="P121" s="116">
        <f t="shared" si="11"/>
        <v>0</v>
      </c>
      <c r="Q121" s="140"/>
      <c r="R121" s="140"/>
      <c r="S121" s="140"/>
      <c r="T121" s="140"/>
      <c r="U121" s="429"/>
      <c r="V121" s="161"/>
      <c r="W121" s="117"/>
      <c r="X121" s="117">
        <f t="shared" si="2"/>
        <v>0</v>
      </c>
      <c r="Y121" s="180"/>
    </row>
    <row r="122" spans="1:25" ht="37.5" customHeight="1">
      <c r="A122" s="469"/>
      <c r="B122" s="476" t="s">
        <v>186</v>
      </c>
      <c r="C122" s="476" t="s">
        <v>187</v>
      </c>
      <c r="D122" s="106">
        <v>115</v>
      </c>
      <c r="E122" s="106" t="s">
        <v>188</v>
      </c>
      <c r="F122" s="140"/>
      <c r="G122" s="140"/>
      <c r="H122" s="140"/>
      <c r="I122" s="140"/>
      <c r="J122" s="116">
        <f t="shared" si="10"/>
        <v>0</v>
      </c>
      <c r="K122" s="140"/>
      <c r="L122" s="140">
        <f>60+18.72</f>
        <v>78.72</v>
      </c>
      <c r="M122" s="140"/>
      <c r="N122" s="140"/>
      <c r="O122" s="140"/>
      <c r="P122" s="116">
        <f t="shared" si="11"/>
        <v>0</v>
      </c>
      <c r="Q122" s="162"/>
      <c r="R122" s="162"/>
      <c r="S122" s="140"/>
      <c r="T122" s="140"/>
      <c r="U122" s="174"/>
      <c r="V122" s="140"/>
      <c r="W122" s="117"/>
      <c r="X122" s="117">
        <f t="shared" si="2"/>
        <v>78.72</v>
      </c>
      <c r="Y122" s="180"/>
    </row>
    <row r="123" spans="1:25" ht="31.5">
      <c r="A123" s="469"/>
      <c r="B123" s="469"/>
      <c r="C123" s="469"/>
      <c r="D123" s="106">
        <v>116</v>
      </c>
      <c r="E123" s="106" t="s">
        <v>189</v>
      </c>
      <c r="F123" s="140"/>
      <c r="G123" s="140"/>
      <c r="H123" s="140"/>
      <c r="I123" s="140"/>
      <c r="J123" s="116">
        <f t="shared" si="10"/>
        <v>0</v>
      </c>
      <c r="K123" s="140"/>
      <c r="L123" s="140"/>
      <c r="M123" s="140"/>
      <c r="N123" s="140"/>
      <c r="O123" s="140"/>
      <c r="P123" s="116">
        <f t="shared" si="11"/>
        <v>0</v>
      </c>
      <c r="Q123" s="162"/>
      <c r="R123" s="421">
        <v>160.11000000000001</v>
      </c>
      <c r="S123" s="140"/>
      <c r="T123" s="140"/>
      <c r="U123" s="174"/>
      <c r="V123" s="140"/>
      <c r="W123" s="117"/>
      <c r="X123" s="117">
        <f t="shared" si="2"/>
        <v>160.11000000000001</v>
      </c>
      <c r="Y123" s="180" t="s">
        <v>347</v>
      </c>
    </row>
    <row r="124" spans="1:25" ht="31.5">
      <c r="A124" s="469"/>
      <c r="B124" s="469"/>
      <c r="C124" s="469"/>
      <c r="D124" s="106">
        <v>117</v>
      </c>
      <c r="E124" s="106" t="s">
        <v>190</v>
      </c>
      <c r="F124" s="140"/>
      <c r="G124" s="140"/>
      <c r="H124" s="140"/>
      <c r="I124" s="140"/>
      <c r="J124" s="116">
        <f t="shared" si="10"/>
        <v>0</v>
      </c>
      <c r="K124" s="140"/>
      <c r="L124" s="140"/>
      <c r="M124" s="140"/>
      <c r="N124" s="140"/>
      <c r="O124" s="140"/>
      <c r="P124" s="116">
        <f t="shared" si="11"/>
        <v>0</v>
      </c>
      <c r="Q124" s="140"/>
      <c r="R124" s="140"/>
      <c r="S124" s="140"/>
      <c r="T124" s="140"/>
      <c r="U124" s="174"/>
      <c r="V124" s="140"/>
      <c r="W124" s="162"/>
      <c r="X124" s="117">
        <f t="shared" si="2"/>
        <v>0</v>
      </c>
      <c r="Y124" s="180"/>
    </row>
    <row r="125" spans="1:25" ht="31.5" hidden="1">
      <c r="A125" s="469"/>
      <c r="B125" s="469"/>
      <c r="C125" s="469"/>
      <c r="D125" s="106">
        <v>118</v>
      </c>
      <c r="E125" s="106" t="s">
        <v>44</v>
      </c>
      <c r="F125" s="140"/>
      <c r="G125" s="140"/>
      <c r="H125" s="140"/>
      <c r="I125" s="140"/>
      <c r="J125" s="116">
        <f t="shared" si="10"/>
        <v>0</v>
      </c>
      <c r="K125" s="140"/>
      <c r="L125" s="140"/>
      <c r="M125" s="140"/>
      <c r="N125" s="140"/>
      <c r="O125" s="140"/>
      <c r="P125" s="116">
        <f t="shared" si="11"/>
        <v>0</v>
      </c>
      <c r="Q125" s="140"/>
      <c r="R125" s="140"/>
      <c r="S125" s="140"/>
      <c r="T125" s="140"/>
      <c r="U125" s="174"/>
      <c r="V125" s="140"/>
      <c r="W125" s="162"/>
      <c r="X125" s="117">
        <f t="shared" si="2"/>
        <v>0</v>
      </c>
      <c r="Y125" s="180"/>
    </row>
    <row r="126" spans="1:25" ht="94.5">
      <c r="A126" s="469"/>
      <c r="B126" s="106" t="s">
        <v>191</v>
      </c>
      <c r="C126" s="106" t="s">
        <v>192</v>
      </c>
      <c r="D126" s="106">
        <v>119</v>
      </c>
      <c r="E126" s="106" t="s">
        <v>193</v>
      </c>
      <c r="F126" s="140"/>
      <c r="G126" s="140"/>
      <c r="H126" s="140"/>
      <c r="I126" s="161"/>
      <c r="J126" s="125">
        <f t="shared" si="10"/>
        <v>0</v>
      </c>
      <c r="K126" s="162"/>
      <c r="L126" s="162"/>
      <c r="M126" s="140"/>
      <c r="N126" s="140"/>
      <c r="O126" s="140"/>
      <c r="P126" s="116">
        <f t="shared" si="11"/>
        <v>0</v>
      </c>
      <c r="Q126" s="140"/>
      <c r="R126" s="140"/>
      <c r="S126" s="161"/>
      <c r="T126" s="161"/>
      <c r="U126" s="174"/>
      <c r="V126" s="140"/>
      <c r="W126" s="117"/>
      <c r="X126" s="117">
        <f t="shared" si="2"/>
        <v>0</v>
      </c>
      <c r="Y126" s="180"/>
    </row>
    <row r="127" spans="1:25" ht="126">
      <c r="A127" s="469"/>
      <c r="B127" s="106" t="s">
        <v>194</v>
      </c>
      <c r="C127" s="106" t="s">
        <v>195</v>
      </c>
      <c r="D127" s="106">
        <v>120</v>
      </c>
      <c r="E127" s="106" t="s">
        <v>196</v>
      </c>
      <c r="F127" s="140"/>
      <c r="G127" s="140"/>
      <c r="H127" s="140"/>
      <c r="I127" s="140"/>
      <c r="J127" s="116">
        <f t="shared" si="10"/>
        <v>0</v>
      </c>
      <c r="K127" s="140"/>
      <c r="L127" s="140"/>
      <c r="M127" s="140"/>
      <c r="N127" s="140"/>
      <c r="O127" s="161"/>
      <c r="P127" s="125">
        <f t="shared" si="11"/>
        <v>0</v>
      </c>
      <c r="Q127" s="161"/>
      <c r="R127" s="161"/>
      <c r="S127" s="161"/>
      <c r="T127" s="161"/>
      <c r="U127" s="174"/>
      <c r="V127" s="140"/>
      <c r="W127" s="117"/>
      <c r="X127" s="117">
        <f t="shared" si="2"/>
        <v>0</v>
      </c>
      <c r="Y127" s="180"/>
    </row>
    <row r="128" spans="1:25" ht="409.5">
      <c r="A128" s="469"/>
      <c r="B128" s="476" t="s">
        <v>197</v>
      </c>
      <c r="C128" s="476" t="s">
        <v>198</v>
      </c>
      <c r="D128" s="106">
        <v>121</v>
      </c>
      <c r="E128" s="106" t="s">
        <v>199</v>
      </c>
      <c r="F128" s="140"/>
      <c r="G128" s="140"/>
      <c r="H128" s="140"/>
      <c r="I128" s="140"/>
      <c r="J128" s="116">
        <f t="shared" si="10"/>
        <v>0</v>
      </c>
      <c r="K128" s="162"/>
      <c r="L128" s="162">
        <f>19+5.75+4.75+5.4+2.8+5+151.65</f>
        <v>194.35</v>
      </c>
      <c r="M128" s="128" t="s">
        <v>427</v>
      </c>
      <c r="N128" s="140"/>
      <c r="O128" s="140"/>
      <c r="P128" s="116">
        <f t="shared" si="11"/>
        <v>0</v>
      </c>
      <c r="Q128" s="140"/>
      <c r="R128" s="140"/>
      <c r="S128" s="140"/>
      <c r="T128" s="140"/>
      <c r="U128" s="174"/>
      <c r="V128" s="140"/>
      <c r="W128" s="117"/>
      <c r="X128" s="117">
        <f t="shared" si="2"/>
        <v>194.35</v>
      </c>
      <c r="Y128" s="180" t="s">
        <v>590</v>
      </c>
    </row>
    <row r="129" spans="1:25" ht="31.5">
      <c r="A129" s="469"/>
      <c r="B129" s="469"/>
      <c r="C129" s="469"/>
      <c r="D129" s="106">
        <v>122</v>
      </c>
      <c r="E129" s="106" t="s">
        <v>200</v>
      </c>
      <c r="F129" s="140"/>
      <c r="G129" s="140"/>
      <c r="H129" s="140"/>
      <c r="I129" s="140"/>
      <c r="J129" s="116">
        <f t="shared" si="10"/>
        <v>0</v>
      </c>
      <c r="K129" s="140"/>
      <c r="L129" s="140"/>
      <c r="M129" s="140"/>
      <c r="N129" s="140"/>
      <c r="O129" s="140"/>
      <c r="P129" s="116">
        <f t="shared" si="11"/>
        <v>0</v>
      </c>
      <c r="Q129" s="140"/>
      <c r="R129" s="140"/>
      <c r="S129" s="140"/>
      <c r="T129" s="140"/>
      <c r="U129" s="174"/>
      <c r="V129" s="140"/>
      <c r="W129" s="117"/>
      <c r="X129" s="117">
        <f t="shared" si="2"/>
        <v>0</v>
      </c>
      <c r="Y129" s="180"/>
    </row>
    <row r="130" spans="1:25" ht="25.5" customHeight="1">
      <c r="A130" s="469"/>
      <c r="B130" s="469"/>
      <c r="C130" s="469"/>
      <c r="D130" s="106">
        <v>123</v>
      </c>
      <c r="E130" s="106" t="s">
        <v>201</v>
      </c>
      <c r="F130" s="140"/>
      <c r="G130" s="140"/>
      <c r="H130" s="140"/>
      <c r="I130" s="140"/>
      <c r="J130" s="116">
        <f t="shared" si="10"/>
        <v>0</v>
      </c>
      <c r="K130" s="140"/>
      <c r="L130" s="140"/>
      <c r="M130" s="140"/>
      <c r="N130" s="140"/>
      <c r="O130" s="140"/>
      <c r="P130" s="116">
        <f t="shared" si="11"/>
        <v>0</v>
      </c>
      <c r="Q130" s="140"/>
      <c r="R130" s="140"/>
      <c r="S130" s="161"/>
      <c r="T130" s="161"/>
      <c r="U130" s="174"/>
      <c r="V130" s="140"/>
      <c r="W130" s="117"/>
      <c r="X130" s="117">
        <f t="shared" si="2"/>
        <v>0</v>
      </c>
      <c r="Y130" s="135"/>
    </row>
    <row r="131" spans="1:25" ht="15.75">
      <c r="A131" s="469"/>
      <c r="B131" s="476" t="s">
        <v>202</v>
      </c>
      <c r="C131" s="476" t="s">
        <v>203</v>
      </c>
      <c r="D131" s="106">
        <v>124</v>
      </c>
      <c r="E131" s="106" t="s">
        <v>204</v>
      </c>
      <c r="F131" s="140"/>
      <c r="G131" s="140"/>
      <c r="H131" s="140"/>
      <c r="I131" s="161"/>
      <c r="J131" s="125">
        <f t="shared" si="10"/>
        <v>0</v>
      </c>
      <c r="K131" s="140"/>
      <c r="L131" s="140">
        <v>29</v>
      </c>
      <c r="M131" s="140"/>
      <c r="N131" s="140"/>
      <c r="O131" s="140"/>
      <c r="P131" s="116">
        <f t="shared" si="11"/>
        <v>0</v>
      </c>
      <c r="Q131" s="140"/>
      <c r="R131" s="140"/>
      <c r="S131" s="140"/>
      <c r="T131" s="140"/>
      <c r="U131" s="174"/>
      <c r="V131" s="140"/>
      <c r="W131" s="117"/>
      <c r="X131" s="117">
        <f t="shared" si="2"/>
        <v>29</v>
      </c>
      <c r="Y131" s="127"/>
    </row>
    <row r="132" spans="1:25" ht="46.5" customHeight="1">
      <c r="A132" s="469"/>
      <c r="B132" s="469"/>
      <c r="C132" s="469"/>
      <c r="D132" s="106">
        <v>125</v>
      </c>
      <c r="E132" s="106" t="s">
        <v>205</v>
      </c>
      <c r="F132" s="140"/>
      <c r="G132" s="140"/>
      <c r="H132" s="140">
        <v>80</v>
      </c>
      <c r="I132" s="161"/>
      <c r="J132" s="125">
        <f t="shared" si="10"/>
        <v>80</v>
      </c>
      <c r="K132" s="140"/>
      <c r="L132" s="140"/>
      <c r="M132" s="140"/>
      <c r="N132" s="140"/>
      <c r="O132" s="140"/>
      <c r="P132" s="116">
        <f t="shared" si="11"/>
        <v>0</v>
      </c>
      <c r="Q132" s="140"/>
      <c r="R132" s="140"/>
      <c r="S132" s="140"/>
      <c r="T132" s="140"/>
      <c r="U132" s="174"/>
      <c r="V132" s="140"/>
      <c r="W132" s="117"/>
      <c r="X132" s="117">
        <f t="shared" si="2"/>
        <v>80</v>
      </c>
      <c r="Y132" s="127" t="s">
        <v>347</v>
      </c>
    </row>
    <row r="133" spans="1:25" ht="57.75" hidden="1" customHeight="1">
      <c r="A133" s="469"/>
      <c r="B133" s="106" t="s">
        <v>206</v>
      </c>
      <c r="C133" s="106" t="s">
        <v>207</v>
      </c>
      <c r="D133" s="106">
        <v>126</v>
      </c>
      <c r="E133" s="106" t="s">
        <v>142</v>
      </c>
      <c r="F133" s="120"/>
      <c r="G133" s="120"/>
      <c r="H133" s="120"/>
      <c r="I133" s="120"/>
      <c r="J133" s="116">
        <f t="shared" si="10"/>
        <v>0</v>
      </c>
      <c r="K133" s="120"/>
      <c r="L133" s="120"/>
      <c r="M133" s="120"/>
      <c r="N133" s="120"/>
      <c r="O133" s="120"/>
      <c r="P133" s="116">
        <f t="shared" si="11"/>
        <v>0</v>
      </c>
      <c r="Q133" s="120"/>
      <c r="R133" s="120"/>
      <c r="S133" s="120"/>
      <c r="T133" s="120"/>
      <c r="U133" s="106"/>
      <c r="V133" s="120"/>
      <c r="W133" s="117"/>
      <c r="X133" s="117">
        <f t="shared" si="2"/>
        <v>0</v>
      </c>
      <c r="Y133" s="135"/>
    </row>
    <row r="134" spans="1:25" ht="26.25" customHeight="1">
      <c r="A134" s="469"/>
      <c r="B134" s="476" t="s">
        <v>208</v>
      </c>
      <c r="C134" s="469"/>
      <c r="D134" s="469"/>
      <c r="E134" s="106"/>
      <c r="F134" s="100">
        <f t="shared" ref="F134:W134" si="12">SUM(F94:F133)</f>
        <v>0</v>
      </c>
      <c r="G134" s="100">
        <f t="shared" si="12"/>
        <v>0</v>
      </c>
      <c r="H134" s="100">
        <f t="shared" si="12"/>
        <v>140</v>
      </c>
      <c r="I134" s="100">
        <f t="shared" si="12"/>
        <v>0</v>
      </c>
      <c r="J134" s="100">
        <f t="shared" si="12"/>
        <v>140</v>
      </c>
      <c r="K134" s="100">
        <f t="shared" si="12"/>
        <v>0</v>
      </c>
      <c r="L134" s="100">
        <f t="shared" si="12"/>
        <v>1595.65</v>
      </c>
      <c r="M134" s="100">
        <f t="shared" si="12"/>
        <v>0</v>
      </c>
      <c r="N134" s="100">
        <f t="shared" si="12"/>
        <v>0</v>
      </c>
      <c r="O134" s="102">
        <f t="shared" si="12"/>
        <v>3829.35</v>
      </c>
      <c r="P134" s="102">
        <f t="shared" si="12"/>
        <v>3829.35</v>
      </c>
      <c r="Q134" s="100">
        <f t="shared" si="12"/>
        <v>0</v>
      </c>
      <c r="R134" s="100">
        <f t="shared" si="12"/>
        <v>160.11000000000001</v>
      </c>
      <c r="S134" s="100">
        <f t="shared" si="12"/>
        <v>0</v>
      </c>
      <c r="T134" s="100">
        <f t="shared" si="12"/>
        <v>88.72</v>
      </c>
      <c r="U134" s="100">
        <f t="shared" si="12"/>
        <v>0</v>
      </c>
      <c r="V134" s="100">
        <f t="shared" si="12"/>
        <v>0</v>
      </c>
      <c r="W134" s="102">
        <f t="shared" si="12"/>
        <v>0</v>
      </c>
      <c r="X134" s="102">
        <f t="shared" si="2"/>
        <v>5813.83</v>
      </c>
      <c r="Y134" s="447"/>
    </row>
    <row r="135" spans="1:25" ht="63">
      <c r="A135" s="477" t="s">
        <v>209</v>
      </c>
      <c r="B135" s="476" t="s">
        <v>210</v>
      </c>
      <c r="C135" s="476" t="s">
        <v>211</v>
      </c>
      <c r="D135" s="106">
        <v>127</v>
      </c>
      <c r="E135" s="106" t="s">
        <v>212</v>
      </c>
      <c r="F135" s="120"/>
      <c r="G135" s="120"/>
      <c r="H135" s="120"/>
      <c r="I135" s="120"/>
      <c r="J135" s="116">
        <f t="shared" ref="J135:J157" si="13">H135+I135</f>
        <v>0</v>
      </c>
      <c r="K135" s="120"/>
      <c r="L135" s="120"/>
      <c r="M135" s="120"/>
      <c r="N135" s="120"/>
      <c r="O135" s="120"/>
      <c r="P135" s="116">
        <f t="shared" ref="P135:P157" si="14">N135+O135</f>
        <v>0</v>
      </c>
      <c r="Q135" s="120"/>
      <c r="R135" s="120"/>
      <c r="S135" s="120"/>
      <c r="T135" s="120"/>
      <c r="U135" s="106"/>
      <c r="V135" s="120"/>
      <c r="W135" s="117"/>
      <c r="X135" s="117">
        <f t="shared" si="2"/>
        <v>0</v>
      </c>
      <c r="Y135" s="135"/>
    </row>
    <row r="136" spans="1:25" ht="39" customHeight="1">
      <c r="A136" s="469"/>
      <c r="B136" s="469"/>
      <c r="C136" s="469"/>
      <c r="D136" s="106">
        <v>128</v>
      </c>
      <c r="E136" s="106" t="s">
        <v>213</v>
      </c>
      <c r="F136" s="120"/>
      <c r="G136" s="120"/>
      <c r="H136" s="120"/>
      <c r="I136" s="120"/>
      <c r="J136" s="116">
        <f t="shared" si="13"/>
        <v>0</v>
      </c>
      <c r="K136" s="120"/>
      <c r="L136" s="120"/>
      <c r="M136" s="120"/>
      <c r="N136" s="120"/>
      <c r="O136" s="122"/>
      <c r="P136" s="117">
        <f t="shared" si="14"/>
        <v>0</v>
      </c>
      <c r="Q136" s="120"/>
      <c r="R136" s="120"/>
      <c r="S136" s="163"/>
      <c r="T136" s="163"/>
      <c r="U136" s="106"/>
      <c r="V136" s="120"/>
      <c r="W136" s="117"/>
      <c r="X136" s="117">
        <f t="shared" si="2"/>
        <v>0</v>
      </c>
      <c r="Y136" s="135"/>
    </row>
    <row r="137" spans="1:25" ht="31.5">
      <c r="A137" s="469"/>
      <c r="B137" s="106"/>
      <c r="C137" s="106"/>
      <c r="D137" s="106">
        <v>129</v>
      </c>
      <c r="E137" s="106" t="s">
        <v>214</v>
      </c>
      <c r="F137" s="120"/>
      <c r="G137" s="120"/>
      <c r="H137" s="120"/>
      <c r="I137" s="120"/>
      <c r="J137" s="116">
        <f t="shared" si="13"/>
        <v>0</v>
      </c>
      <c r="K137" s="120"/>
      <c r="L137" s="120"/>
      <c r="M137" s="120"/>
      <c r="N137" s="120"/>
      <c r="O137" s="120"/>
      <c r="P137" s="116">
        <f t="shared" si="14"/>
        <v>0</v>
      </c>
      <c r="Q137" s="120"/>
      <c r="R137" s="120"/>
      <c r="S137" s="120"/>
      <c r="T137" s="120"/>
      <c r="U137" s="106"/>
      <c r="V137" s="120"/>
      <c r="W137" s="117"/>
      <c r="X137" s="117">
        <f t="shared" si="2"/>
        <v>0</v>
      </c>
      <c r="Y137" s="135"/>
    </row>
    <row r="138" spans="1:25" ht="47.25">
      <c r="A138" s="469"/>
      <c r="B138" s="476" t="s">
        <v>215</v>
      </c>
      <c r="C138" s="476" t="s">
        <v>216</v>
      </c>
      <c r="D138" s="106">
        <v>130</v>
      </c>
      <c r="E138" s="106" t="s">
        <v>217</v>
      </c>
      <c r="F138" s="120"/>
      <c r="G138" s="120"/>
      <c r="H138" s="120"/>
      <c r="I138" s="120"/>
      <c r="J138" s="116">
        <f t="shared" si="13"/>
        <v>0</v>
      </c>
      <c r="K138" s="120"/>
      <c r="L138" s="120"/>
      <c r="M138" s="120"/>
      <c r="N138" s="120"/>
      <c r="O138" s="120"/>
      <c r="P138" s="116">
        <f t="shared" si="14"/>
        <v>0</v>
      </c>
      <c r="Q138" s="120"/>
      <c r="R138" s="120"/>
      <c r="S138" s="120"/>
      <c r="T138" s="120"/>
      <c r="U138" s="106"/>
      <c r="V138" s="120"/>
      <c r="W138" s="117"/>
      <c r="X138" s="117">
        <f t="shared" si="2"/>
        <v>0</v>
      </c>
      <c r="Y138" s="135"/>
    </row>
    <row r="139" spans="1:25" ht="15.75">
      <c r="A139" s="469"/>
      <c r="B139" s="469"/>
      <c r="C139" s="469"/>
      <c r="D139" s="106">
        <v>131</v>
      </c>
      <c r="E139" s="106" t="s">
        <v>218</v>
      </c>
      <c r="F139" s="120"/>
      <c r="G139" s="120"/>
      <c r="H139" s="120"/>
      <c r="I139" s="120"/>
      <c r="J139" s="116">
        <f t="shared" si="13"/>
        <v>0</v>
      </c>
      <c r="K139" s="120"/>
      <c r="L139" s="120"/>
      <c r="M139" s="120"/>
      <c r="N139" s="120"/>
      <c r="O139" s="120"/>
      <c r="P139" s="116">
        <f t="shared" si="14"/>
        <v>0</v>
      </c>
      <c r="Q139" s="120"/>
      <c r="R139" s="120"/>
      <c r="S139" s="120"/>
      <c r="T139" s="120"/>
      <c r="U139" s="106"/>
      <c r="V139" s="120"/>
      <c r="W139" s="117"/>
      <c r="X139" s="117">
        <f t="shared" si="2"/>
        <v>0</v>
      </c>
      <c r="Y139" s="135"/>
    </row>
    <row r="140" spans="1:25" ht="15.75">
      <c r="A140" s="469"/>
      <c r="B140" s="469"/>
      <c r="C140" s="469"/>
      <c r="D140" s="106">
        <v>132</v>
      </c>
      <c r="E140" s="106" t="s">
        <v>219</v>
      </c>
      <c r="F140" s="120"/>
      <c r="G140" s="120"/>
      <c r="H140" s="120"/>
      <c r="I140" s="120"/>
      <c r="J140" s="116">
        <f t="shared" si="13"/>
        <v>0</v>
      </c>
      <c r="K140" s="120"/>
      <c r="L140" s="120"/>
      <c r="M140" s="120"/>
      <c r="N140" s="120"/>
      <c r="O140" s="120"/>
      <c r="P140" s="116">
        <f t="shared" si="14"/>
        <v>0</v>
      </c>
      <c r="Q140" s="120"/>
      <c r="R140" s="120"/>
      <c r="S140" s="120"/>
      <c r="T140" s="120"/>
      <c r="U140" s="106"/>
      <c r="V140" s="120"/>
      <c r="W140" s="117"/>
      <c r="X140" s="117">
        <f t="shared" si="2"/>
        <v>0</v>
      </c>
      <c r="Y140" s="135"/>
    </row>
    <row r="141" spans="1:25" ht="15.75">
      <c r="A141" s="469"/>
      <c r="B141" s="469"/>
      <c r="C141" s="469"/>
      <c r="D141" s="106">
        <v>133</v>
      </c>
      <c r="E141" s="106" t="s">
        <v>220</v>
      </c>
      <c r="F141" s="120"/>
      <c r="G141" s="120"/>
      <c r="H141" s="120"/>
      <c r="I141" s="120"/>
      <c r="J141" s="116">
        <f t="shared" si="13"/>
        <v>0</v>
      </c>
      <c r="K141" s="120"/>
      <c r="L141" s="120"/>
      <c r="M141" s="120"/>
      <c r="N141" s="120"/>
      <c r="O141" s="120"/>
      <c r="P141" s="116">
        <f t="shared" si="14"/>
        <v>0</v>
      </c>
      <c r="Q141" s="120"/>
      <c r="R141" s="120"/>
      <c r="S141" s="120"/>
      <c r="T141" s="120"/>
      <c r="U141" s="106"/>
      <c r="V141" s="120"/>
      <c r="W141" s="117"/>
      <c r="X141" s="117">
        <f t="shared" si="2"/>
        <v>0</v>
      </c>
      <c r="Y141" s="135"/>
    </row>
    <row r="142" spans="1:25" ht="15.75">
      <c r="A142" s="469"/>
      <c r="B142" s="469"/>
      <c r="C142" s="469"/>
      <c r="D142" s="106">
        <v>134</v>
      </c>
      <c r="E142" s="106" t="s">
        <v>221</v>
      </c>
      <c r="F142" s="120"/>
      <c r="G142" s="120"/>
      <c r="H142" s="120"/>
      <c r="I142" s="120"/>
      <c r="J142" s="116">
        <f t="shared" si="13"/>
        <v>0</v>
      </c>
      <c r="K142" s="120"/>
      <c r="L142" s="120"/>
      <c r="M142" s="120"/>
      <c r="N142" s="120"/>
      <c r="O142" s="120"/>
      <c r="P142" s="116">
        <f t="shared" si="14"/>
        <v>0</v>
      </c>
      <c r="Q142" s="120"/>
      <c r="R142" s="120"/>
      <c r="S142" s="122"/>
      <c r="T142" s="122"/>
      <c r="U142" s="106"/>
      <c r="V142" s="120"/>
      <c r="W142" s="117"/>
      <c r="X142" s="117">
        <f t="shared" si="2"/>
        <v>0</v>
      </c>
      <c r="Y142" s="135"/>
    </row>
    <row r="143" spans="1:25" ht="31.5">
      <c r="A143" s="469"/>
      <c r="B143" s="469"/>
      <c r="C143" s="469"/>
      <c r="D143" s="106">
        <v>135</v>
      </c>
      <c r="E143" s="106" t="s">
        <v>223</v>
      </c>
      <c r="F143" s="120"/>
      <c r="G143" s="120"/>
      <c r="H143" s="120"/>
      <c r="I143" s="120"/>
      <c r="J143" s="116">
        <f t="shared" si="13"/>
        <v>0</v>
      </c>
      <c r="K143" s="120"/>
      <c r="L143" s="120"/>
      <c r="M143" s="120"/>
      <c r="N143" s="120"/>
      <c r="O143" s="120"/>
      <c r="P143" s="116">
        <f t="shared" si="14"/>
        <v>0</v>
      </c>
      <c r="Q143" s="120"/>
      <c r="R143" s="120"/>
      <c r="S143" s="120"/>
      <c r="T143" s="120"/>
      <c r="U143" s="106"/>
      <c r="V143" s="120"/>
      <c r="W143" s="117"/>
      <c r="X143" s="117">
        <f t="shared" si="2"/>
        <v>0</v>
      </c>
      <c r="Y143" s="135"/>
    </row>
    <row r="144" spans="1:25" ht="47.25">
      <c r="A144" s="469"/>
      <c r="B144" s="469"/>
      <c r="C144" s="469"/>
      <c r="D144" s="106">
        <v>136</v>
      </c>
      <c r="E144" s="106" t="s">
        <v>224</v>
      </c>
      <c r="F144" s="120"/>
      <c r="G144" s="120"/>
      <c r="H144" s="120"/>
      <c r="I144" s="120"/>
      <c r="J144" s="116">
        <f t="shared" si="13"/>
        <v>0</v>
      </c>
      <c r="K144" s="120"/>
      <c r="L144" s="120"/>
      <c r="M144" s="120"/>
      <c r="N144" s="120"/>
      <c r="O144" s="120"/>
      <c r="P144" s="116">
        <f t="shared" si="14"/>
        <v>0</v>
      </c>
      <c r="Q144" s="120"/>
      <c r="R144" s="120"/>
      <c r="S144" s="122"/>
      <c r="T144" s="122"/>
      <c r="U144" s="106"/>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3"/>
        <v>0</v>
      </c>
      <c r="K145" s="120"/>
      <c r="L145" s="120"/>
      <c r="M145" s="120"/>
      <c r="N145" s="120"/>
      <c r="O145" s="120"/>
      <c r="P145" s="116">
        <f t="shared" si="14"/>
        <v>0</v>
      </c>
      <c r="Q145" s="122"/>
      <c r="R145" s="122"/>
      <c r="S145" s="122"/>
      <c r="T145" s="122"/>
      <c r="U145" s="106"/>
      <c r="V145" s="120"/>
      <c r="W145" s="117"/>
      <c r="X145" s="117">
        <f t="shared" si="2"/>
        <v>0</v>
      </c>
      <c r="Y145" s="135"/>
    </row>
    <row r="146" spans="1:25" ht="31.5">
      <c r="A146" s="469"/>
      <c r="B146" s="469"/>
      <c r="C146" s="469"/>
      <c r="D146" s="106">
        <v>138</v>
      </c>
      <c r="E146" s="106" t="s">
        <v>228</v>
      </c>
      <c r="F146" s="120"/>
      <c r="G146" s="120"/>
      <c r="H146" s="120"/>
      <c r="I146" s="122"/>
      <c r="J146" s="117">
        <f t="shared" si="13"/>
        <v>0</v>
      </c>
      <c r="K146" s="122"/>
      <c r="L146" s="122"/>
      <c r="M146" s="120"/>
      <c r="N146" s="120"/>
      <c r="O146" s="122"/>
      <c r="P146" s="117">
        <f t="shared" si="14"/>
        <v>0</v>
      </c>
      <c r="Q146" s="122"/>
      <c r="R146" s="122"/>
      <c r="S146" s="120"/>
      <c r="T146" s="120"/>
      <c r="U146" s="106"/>
      <c r="V146" s="120"/>
      <c r="W146" s="117"/>
      <c r="X146" s="117">
        <f t="shared" si="2"/>
        <v>0</v>
      </c>
      <c r="Y146" s="135"/>
    </row>
    <row r="147" spans="1:25" ht="47.25">
      <c r="A147" s="469"/>
      <c r="B147" s="476" t="s">
        <v>229</v>
      </c>
      <c r="C147" s="476" t="s">
        <v>230</v>
      </c>
      <c r="D147" s="106">
        <v>139</v>
      </c>
      <c r="E147" s="106" t="s">
        <v>231</v>
      </c>
      <c r="F147" s="120"/>
      <c r="G147" s="120"/>
      <c r="H147" s="120"/>
      <c r="I147" s="120"/>
      <c r="J147" s="116">
        <f t="shared" si="13"/>
        <v>0</v>
      </c>
      <c r="K147" s="120"/>
      <c r="L147" s="120"/>
      <c r="M147" s="120"/>
      <c r="N147" s="120"/>
      <c r="O147" s="120"/>
      <c r="P147" s="116">
        <f t="shared" si="14"/>
        <v>0</v>
      </c>
      <c r="Q147" s="120"/>
      <c r="R147" s="120"/>
      <c r="S147" s="122"/>
      <c r="T147" s="122"/>
      <c r="U147" s="106"/>
      <c r="V147" s="120"/>
      <c r="W147" s="117"/>
      <c r="X147" s="117">
        <f t="shared" si="2"/>
        <v>0</v>
      </c>
      <c r="Y147" s="135"/>
    </row>
    <row r="148" spans="1:25" ht="192.75" customHeight="1">
      <c r="A148" s="469"/>
      <c r="B148" s="469"/>
      <c r="C148" s="469"/>
      <c r="D148" s="106">
        <v>140</v>
      </c>
      <c r="E148" s="106" t="s">
        <v>232</v>
      </c>
      <c r="F148" s="120"/>
      <c r="G148" s="120"/>
      <c r="H148" s="120"/>
      <c r="I148" s="120"/>
      <c r="J148" s="116">
        <f t="shared" si="13"/>
        <v>0</v>
      </c>
      <c r="K148" s="120"/>
      <c r="L148" s="120"/>
      <c r="M148" s="120"/>
      <c r="N148" s="120"/>
      <c r="O148" s="120"/>
      <c r="P148" s="116">
        <f t="shared" si="14"/>
        <v>0</v>
      </c>
      <c r="Q148" s="120"/>
      <c r="R148" s="120"/>
      <c r="S148" s="122"/>
      <c r="T148" s="122">
        <f>(2*4)+((5*2)+(5*0.5))</f>
        <v>20.5</v>
      </c>
      <c r="U148" s="106"/>
      <c r="V148" s="120"/>
      <c r="W148" s="117"/>
      <c r="X148" s="117">
        <f t="shared" si="2"/>
        <v>20.5</v>
      </c>
      <c r="Y148" s="135" t="s">
        <v>428</v>
      </c>
    </row>
    <row r="149" spans="1:25" ht="27" customHeight="1">
      <c r="A149" s="469"/>
      <c r="B149" s="469"/>
      <c r="C149" s="469"/>
      <c r="D149" s="106">
        <v>141</v>
      </c>
      <c r="E149" s="106" t="s">
        <v>233</v>
      </c>
      <c r="F149" s="120"/>
      <c r="G149" s="120"/>
      <c r="H149" s="120"/>
      <c r="I149" s="120"/>
      <c r="J149" s="116">
        <f t="shared" si="13"/>
        <v>0</v>
      </c>
      <c r="K149" s="120"/>
      <c r="L149" s="120"/>
      <c r="M149" s="120"/>
      <c r="N149" s="120"/>
      <c r="O149" s="120"/>
      <c r="P149" s="116">
        <f t="shared" si="14"/>
        <v>0</v>
      </c>
      <c r="Q149" s="120"/>
      <c r="R149" s="120"/>
      <c r="S149" s="120"/>
      <c r="T149" s="120"/>
      <c r="U149" s="106"/>
      <c r="V149" s="120"/>
      <c r="W149" s="117"/>
      <c r="X149" s="117">
        <f t="shared" si="2"/>
        <v>0</v>
      </c>
      <c r="Y149" s="135"/>
    </row>
    <row r="150" spans="1:25" ht="31.5">
      <c r="A150" s="469"/>
      <c r="B150" s="476" t="s">
        <v>234</v>
      </c>
      <c r="C150" s="476" t="s">
        <v>235</v>
      </c>
      <c r="D150" s="106">
        <v>142</v>
      </c>
      <c r="E150" s="106" t="s">
        <v>236</v>
      </c>
      <c r="F150" s="120"/>
      <c r="G150" s="120"/>
      <c r="H150" s="120"/>
      <c r="I150" s="120"/>
      <c r="J150" s="116">
        <f t="shared" si="13"/>
        <v>0</v>
      </c>
      <c r="K150" s="120"/>
      <c r="L150" s="120"/>
      <c r="M150" s="120"/>
      <c r="N150" s="120"/>
      <c r="O150" s="120"/>
      <c r="P150" s="116">
        <f t="shared" si="14"/>
        <v>0</v>
      </c>
      <c r="Q150" s="120"/>
      <c r="R150" s="120"/>
      <c r="S150" s="150"/>
      <c r="T150" s="430">
        <v>999.29499999999996</v>
      </c>
      <c r="U150" s="106"/>
      <c r="V150" s="120"/>
      <c r="W150" s="117"/>
      <c r="X150" s="117">
        <f t="shared" si="2"/>
        <v>999.29499999999996</v>
      </c>
      <c r="Y150" s="135"/>
    </row>
    <row r="151" spans="1:25" ht="47.25">
      <c r="A151" s="469"/>
      <c r="B151" s="469"/>
      <c r="C151" s="469"/>
      <c r="D151" s="106">
        <v>143</v>
      </c>
      <c r="E151" s="106" t="s">
        <v>237</v>
      </c>
      <c r="F151" s="120"/>
      <c r="G151" s="120"/>
      <c r="H151" s="120"/>
      <c r="I151" s="120"/>
      <c r="J151" s="116">
        <f t="shared" si="13"/>
        <v>0</v>
      </c>
      <c r="K151" s="120"/>
      <c r="L151" s="120"/>
      <c r="M151" s="120"/>
      <c r="N151" s="120"/>
      <c r="O151" s="120"/>
      <c r="P151" s="116">
        <f t="shared" si="14"/>
        <v>0</v>
      </c>
      <c r="Q151" s="120"/>
      <c r="R151" s="120"/>
      <c r="S151" s="120"/>
      <c r="T151" s="120"/>
      <c r="U151" s="106"/>
      <c r="V151" s="120"/>
      <c r="W151" s="117"/>
      <c r="X151" s="117">
        <f t="shared" si="2"/>
        <v>0</v>
      </c>
      <c r="Y151" s="135"/>
    </row>
    <row r="152" spans="1:25" ht="15.75">
      <c r="A152" s="469"/>
      <c r="B152" s="469"/>
      <c r="C152" s="469"/>
      <c r="D152" s="106">
        <v>144</v>
      </c>
      <c r="E152" s="106" t="s">
        <v>238</v>
      </c>
      <c r="F152" s="120"/>
      <c r="G152" s="120"/>
      <c r="H152" s="120"/>
      <c r="I152" s="120"/>
      <c r="J152" s="116">
        <f t="shared" si="13"/>
        <v>0</v>
      </c>
      <c r="K152" s="120"/>
      <c r="L152" s="120"/>
      <c r="M152" s="120"/>
      <c r="N152" s="120"/>
      <c r="O152" s="120"/>
      <c r="P152" s="116">
        <f t="shared" si="14"/>
        <v>0</v>
      </c>
      <c r="Q152" s="120"/>
      <c r="R152" s="120"/>
      <c r="S152" s="120"/>
      <c r="T152" s="120"/>
      <c r="U152" s="106"/>
      <c r="V152" s="120"/>
      <c r="W152" s="117"/>
      <c r="X152" s="117">
        <f t="shared" si="2"/>
        <v>0</v>
      </c>
      <c r="Y152" s="135"/>
    </row>
    <row r="153" spans="1:25" ht="47.25">
      <c r="A153" s="469"/>
      <c r="B153" s="469"/>
      <c r="C153" s="469"/>
      <c r="D153" s="106">
        <v>145</v>
      </c>
      <c r="E153" s="106" t="s">
        <v>295</v>
      </c>
      <c r="F153" s="120"/>
      <c r="G153" s="120"/>
      <c r="H153" s="120"/>
      <c r="I153" s="120"/>
      <c r="J153" s="116">
        <f t="shared" si="13"/>
        <v>0</v>
      </c>
      <c r="K153" s="120"/>
      <c r="L153" s="120"/>
      <c r="M153" s="120"/>
      <c r="N153" s="120"/>
      <c r="O153" s="120"/>
      <c r="P153" s="116">
        <f t="shared" si="14"/>
        <v>0</v>
      </c>
      <c r="Q153" s="120"/>
      <c r="R153" s="120"/>
      <c r="S153" s="120"/>
      <c r="T153" s="120"/>
      <c r="U153" s="106"/>
      <c r="V153" s="120"/>
      <c r="W153" s="117"/>
      <c r="X153" s="117">
        <f t="shared" si="2"/>
        <v>0</v>
      </c>
      <c r="Y153" s="135"/>
    </row>
    <row r="154" spans="1:25" ht="141.75">
      <c r="A154" s="469"/>
      <c r="B154" s="106" t="s">
        <v>240</v>
      </c>
      <c r="C154" s="106" t="s">
        <v>241</v>
      </c>
      <c r="D154" s="106">
        <v>146</v>
      </c>
      <c r="E154" s="106" t="s">
        <v>242</v>
      </c>
      <c r="F154" s="120"/>
      <c r="G154" s="120"/>
      <c r="H154" s="120"/>
      <c r="I154" s="120"/>
      <c r="J154" s="116">
        <f t="shared" si="13"/>
        <v>0</v>
      </c>
      <c r="K154" s="120"/>
      <c r="L154" s="120"/>
      <c r="M154" s="120"/>
      <c r="N154" s="120"/>
      <c r="O154" s="120"/>
      <c r="P154" s="116">
        <f t="shared" si="14"/>
        <v>0</v>
      </c>
      <c r="Q154" s="120"/>
      <c r="R154" s="120"/>
      <c r="S154" s="120"/>
      <c r="T154" s="120">
        <v>7.8</v>
      </c>
      <c r="U154" s="106"/>
      <c r="V154" s="120"/>
      <c r="W154" s="117"/>
      <c r="X154" s="117">
        <f t="shared" si="2"/>
        <v>7.8</v>
      </c>
      <c r="Y154" s="180" t="s">
        <v>674</v>
      </c>
    </row>
    <row r="155" spans="1:25" ht="31.5">
      <c r="A155" s="469"/>
      <c r="B155" s="106" t="s">
        <v>243</v>
      </c>
      <c r="C155" s="106" t="s">
        <v>244</v>
      </c>
      <c r="D155" s="106">
        <v>147</v>
      </c>
      <c r="E155" s="106" t="s">
        <v>125</v>
      </c>
      <c r="F155" s="120"/>
      <c r="G155" s="120"/>
      <c r="H155" s="120"/>
      <c r="I155" s="120"/>
      <c r="J155" s="116">
        <f t="shared" si="13"/>
        <v>0</v>
      </c>
      <c r="K155" s="120"/>
      <c r="L155" s="120"/>
      <c r="M155" s="120"/>
      <c r="N155" s="120"/>
      <c r="O155" s="120"/>
      <c r="P155" s="116">
        <f t="shared" si="14"/>
        <v>0</v>
      </c>
      <c r="Q155" s="120"/>
      <c r="R155" s="120"/>
      <c r="S155" s="120"/>
      <c r="T155" s="120"/>
      <c r="U155" s="106"/>
      <c r="V155" s="120"/>
      <c r="W155" s="117"/>
      <c r="X155" s="117">
        <f t="shared" si="2"/>
        <v>0</v>
      </c>
      <c r="Y155" s="135"/>
    </row>
    <row r="156" spans="1:25" ht="63" hidden="1">
      <c r="A156" s="469"/>
      <c r="B156" s="106" t="s">
        <v>245</v>
      </c>
      <c r="C156" s="106" t="s">
        <v>246</v>
      </c>
      <c r="D156" s="106">
        <v>148</v>
      </c>
      <c r="E156" s="106" t="s">
        <v>247</v>
      </c>
      <c r="F156" s="120"/>
      <c r="G156" s="120"/>
      <c r="H156" s="120"/>
      <c r="I156" s="120"/>
      <c r="J156" s="116">
        <f t="shared" si="13"/>
        <v>0</v>
      </c>
      <c r="K156" s="120"/>
      <c r="L156" s="120"/>
      <c r="M156" s="120"/>
      <c r="N156" s="120"/>
      <c r="O156" s="120"/>
      <c r="P156" s="116">
        <f t="shared" si="14"/>
        <v>0</v>
      </c>
      <c r="Q156" s="120"/>
      <c r="R156" s="120"/>
      <c r="S156" s="122"/>
      <c r="T156" s="122"/>
      <c r="U156" s="106"/>
      <c r="V156" s="120"/>
      <c r="W156" s="117"/>
      <c r="X156" s="117">
        <f t="shared" si="2"/>
        <v>0</v>
      </c>
      <c r="Y156" s="135"/>
    </row>
    <row r="157" spans="1:25" ht="31.5">
      <c r="A157" s="469"/>
      <c r="B157" s="106" t="s">
        <v>248</v>
      </c>
      <c r="C157" s="106" t="s">
        <v>249</v>
      </c>
      <c r="D157" s="106">
        <v>149</v>
      </c>
      <c r="E157" s="106" t="s">
        <v>250</v>
      </c>
      <c r="F157" s="151"/>
      <c r="G157" s="151"/>
      <c r="H157" s="151"/>
      <c r="I157" s="151"/>
      <c r="J157" s="116">
        <f t="shared" si="13"/>
        <v>0</v>
      </c>
      <c r="K157" s="151"/>
      <c r="L157" s="151"/>
      <c r="M157" s="151"/>
      <c r="N157" s="151"/>
      <c r="O157" s="151"/>
      <c r="P157" s="116">
        <f t="shared" si="14"/>
        <v>0</v>
      </c>
      <c r="Q157" s="151"/>
      <c r="R157" s="151"/>
      <c r="S157" s="122"/>
      <c r="T157" s="122">
        <v>0</v>
      </c>
      <c r="U157" s="98"/>
      <c r="V157" s="151"/>
      <c r="W157" s="117"/>
      <c r="X157" s="117">
        <f t="shared" si="2"/>
        <v>0</v>
      </c>
      <c r="Y157" s="135"/>
    </row>
    <row r="158" spans="1:25" ht="37.5" customHeight="1">
      <c r="A158" s="469"/>
      <c r="B158" s="478" t="s">
        <v>251</v>
      </c>
      <c r="C158" s="469"/>
      <c r="D158" s="469"/>
      <c r="E158" s="99"/>
      <c r="F158" s="100">
        <f t="shared" ref="F158:W158" si="15">SUM(F135:F157)</f>
        <v>0</v>
      </c>
      <c r="G158" s="100">
        <f t="shared" si="15"/>
        <v>0</v>
      </c>
      <c r="H158" s="100">
        <f t="shared" si="15"/>
        <v>0</v>
      </c>
      <c r="I158" s="100">
        <f t="shared" si="15"/>
        <v>0</v>
      </c>
      <c r="J158" s="100">
        <f t="shared" si="15"/>
        <v>0</v>
      </c>
      <c r="K158" s="100">
        <f t="shared" si="15"/>
        <v>0</v>
      </c>
      <c r="L158" s="100">
        <f t="shared" si="15"/>
        <v>0</v>
      </c>
      <c r="M158" s="100">
        <f t="shared" si="15"/>
        <v>0</v>
      </c>
      <c r="N158" s="100">
        <f t="shared" si="15"/>
        <v>0</v>
      </c>
      <c r="O158" s="100">
        <f t="shared" si="15"/>
        <v>0</v>
      </c>
      <c r="P158" s="100">
        <f t="shared" si="15"/>
        <v>0</v>
      </c>
      <c r="Q158" s="100">
        <f t="shared" si="15"/>
        <v>0</v>
      </c>
      <c r="R158" s="100">
        <f t="shared" si="15"/>
        <v>0</v>
      </c>
      <c r="S158" s="100">
        <f t="shared" si="15"/>
        <v>0</v>
      </c>
      <c r="T158" s="100">
        <f t="shared" si="15"/>
        <v>1027.595</v>
      </c>
      <c r="U158" s="100">
        <f t="shared" si="15"/>
        <v>0</v>
      </c>
      <c r="V158" s="100">
        <f t="shared" si="15"/>
        <v>0</v>
      </c>
      <c r="W158" s="102">
        <f t="shared" si="15"/>
        <v>0</v>
      </c>
      <c r="X158" s="102">
        <f t="shared" si="2"/>
        <v>1027.595</v>
      </c>
      <c r="Y158" s="447"/>
    </row>
    <row r="159" spans="1:25" ht="47.25">
      <c r="A159" s="477" t="s">
        <v>252</v>
      </c>
      <c r="B159" s="476" t="s">
        <v>253</v>
      </c>
      <c r="C159" s="476" t="s">
        <v>211</v>
      </c>
      <c r="D159" s="106">
        <v>150</v>
      </c>
      <c r="E159" s="106" t="s">
        <v>239</v>
      </c>
      <c r="F159" s="120"/>
      <c r="G159" s="121"/>
      <c r="H159" s="121"/>
      <c r="I159" s="121"/>
      <c r="J159" s="125">
        <f t="shared" ref="J159:J173" si="16">H159+I159</f>
        <v>0</v>
      </c>
      <c r="K159" s="120"/>
      <c r="L159" s="118"/>
      <c r="M159" s="120"/>
      <c r="N159" s="120"/>
      <c r="O159" s="120"/>
      <c r="P159" s="116">
        <f>N159+O159</f>
        <v>0</v>
      </c>
      <c r="Q159" s="120"/>
      <c r="R159" s="120"/>
      <c r="S159" s="121"/>
      <c r="T159" s="438"/>
      <c r="U159" s="164"/>
      <c r="V159" s="120"/>
      <c r="W159" s="117"/>
      <c r="X159" s="117">
        <f t="shared" si="2"/>
        <v>0</v>
      </c>
      <c r="Y159" s="241"/>
    </row>
    <row r="160" spans="1:25" ht="31.5">
      <c r="A160" s="469"/>
      <c r="B160" s="469"/>
      <c r="C160" s="469"/>
      <c r="D160" s="106">
        <v>151</v>
      </c>
      <c r="E160" s="106" t="s">
        <v>254</v>
      </c>
      <c r="F160" s="120"/>
      <c r="G160" s="121"/>
      <c r="H160" s="121"/>
      <c r="I160" s="121"/>
      <c r="J160" s="125">
        <f t="shared" si="16"/>
        <v>0</v>
      </c>
      <c r="K160" s="122"/>
      <c r="L160" s="122"/>
      <c r="M160" s="120"/>
      <c r="N160" s="120"/>
      <c r="O160" s="120"/>
      <c r="P160" s="116">
        <f>N160+O160</f>
        <v>0</v>
      </c>
      <c r="Q160" s="120"/>
      <c r="R160" s="120"/>
      <c r="S160" s="121"/>
      <c r="T160" s="244"/>
      <c r="U160" s="439"/>
      <c r="V160" s="120"/>
      <c r="W160" s="117"/>
      <c r="X160" s="117">
        <f t="shared" si="2"/>
        <v>0</v>
      </c>
      <c r="Y160" s="135"/>
    </row>
    <row r="161" spans="1:25" ht="49.5" customHeight="1">
      <c r="A161" s="469"/>
      <c r="B161" s="469"/>
      <c r="C161" s="469"/>
      <c r="D161" s="106">
        <v>152</v>
      </c>
      <c r="E161" s="106" t="s">
        <v>255</v>
      </c>
      <c r="F161" s="120"/>
      <c r="G161" s="120"/>
      <c r="H161" s="120"/>
      <c r="I161" s="120"/>
      <c r="J161" s="116">
        <f t="shared" si="16"/>
        <v>0</v>
      </c>
      <c r="K161" s="120"/>
      <c r="L161" s="120"/>
      <c r="M161" s="120"/>
      <c r="N161" s="120"/>
      <c r="O161" s="120"/>
      <c r="P161" s="116">
        <f>N161+O161</f>
        <v>0</v>
      </c>
      <c r="Q161" s="120"/>
      <c r="R161" s="120"/>
      <c r="S161" s="121"/>
      <c r="T161" s="438"/>
      <c r="U161" s="164"/>
      <c r="V161" s="120"/>
      <c r="W161" s="117"/>
      <c r="X161" s="117">
        <f t="shared" si="2"/>
        <v>0</v>
      </c>
      <c r="Y161" s="135"/>
    </row>
    <row r="162" spans="1:25" ht="63">
      <c r="A162" s="469"/>
      <c r="B162" s="469"/>
      <c r="C162" s="469"/>
      <c r="D162" s="106">
        <v>153</v>
      </c>
      <c r="E162" s="106" t="s">
        <v>256</v>
      </c>
      <c r="F162" s="151"/>
      <c r="G162" s="151"/>
      <c r="H162" s="151"/>
      <c r="I162" s="151"/>
      <c r="J162" s="116">
        <f t="shared" si="16"/>
        <v>0</v>
      </c>
      <c r="K162" s="151"/>
      <c r="L162" s="151"/>
      <c r="M162" s="151"/>
      <c r="N162" s="151"/>
      <c r="O162" s="151"/>
      <c r="P162" s="116">
        <f>N162+O162</f>
        <v>0</v>
      </c>
      <c r="Q162" s="151"/>
      <c r="R162" s="151"/>
      <c r="S162" s="151"/>
      <c r="T162" s="151">
        <v>6</v>
      </c>
      <c r="V162" s="151"/>
      <c r="W162" s="117"/>
      <c r="X162" s="117">
        <f t="shared" si="2"/>
        <v>6</v>
      </c>
      <c r="Y162" s="135" t="s">
        <v>430</v>
      </c>
    </row>
    <row r="163" spans="1:25" ht="409.5">
      <c r="A163" s="469"/>
      <c r="B163" s="476" t="s">
        <v>257</v>
      </c>
      <c r="C163" s="476" t="s">
        <v>258</v>
      </c>
      <c r="D163" s="106">
        <v>154</v>
      </c>
      <c r="E163" s="106" t="s">
        <v>259</v>
      </c>
      <c r="F163" s="120"/>
      <c r="G163" s="120"/>
      <c r="H163" s="120"/>
      <c r="I163" s="120"/>
      <c r="J163" s="116">
        <f t="shared" si="16"/>
        <v>0</v>
      </c>
      <c r="K163" s="120"/>
      <c r="L163" s="120"/>
      <c r="M163" s="120"/>
      <c r="N163" s="120"/>
      <c r="O163" s="122"/>
      <c r="P163" s="116">
        <f>5590.09+28.72</f>
        <v>5618.81</v>
      </c>
      <c r="R163" s="122">
        <v>10</v>
      </c>
      <c r="S163" s="328" t="s">
        <v>1238</v>
      </c>
      <c r="T163" s="120"/>
      <c r="U163" s="106"/>
      <c r="V163" s="120"/>
      <c r="W163" s="117"/>
      <c r="X163" s="117">
        <f t="shared" si="2"/>
        <v>5628.81</v>
      </c>
      <c r="Y163" s="376" t="s">
        <v>1239</v>
      </c>
    </row>
    <row r="164" spans="1:25" ht="31.5">
      <c r="A164" s="469"/>
      <c r="B164" s="469"/>
      <c r="C164" s="469"/>
      <c r="D164" s="106">
        <v>155</v>
      </c>
      <c r="E164" s="106" t="s">
        <v>260</v>
      </c>
      <c r="F164" s="120"/>
      <c r="G164" s="120"/>
      <c r="H164" s="120"/>
      <c r="I164" s="120"/>
      <c r="J164" s="116">
        <f t="shared" si="16"/>
        <v>0</v>
      </c>
      <c r="K164" s="120"/>
      <c r="L164" s="120"/>
      <c r="M164" s="120"/>
      <c r="N164" s="120"/>
      <c r="O164" s="120"/>
      <c r="P164" s="116">
        <f t="shared" ref="P164:P215" si="17">N164+O164</f>
        <v>0</v>
      </c>
      <c r="Q164" s="115" t="s">
        <v>54</v>
      </c>
      <c r="R164" s="120"/>
      <c r="S164" s="136"/>
      <c r="T164" s="121"/>
      <c r="U164" s="115" t="s">
        <v>54</v>
      </c>
      <c r="V164" s="120"/>
      <c r="W164" s="117"/>
      <c r="X164" s="117">
        <f t="shared" si="2"/>
        <v>0</v>
      </c>
      <c r="Y164" s="135"/>
    </row>
    <row r="165" spans="1:25" ht="82.5" customHeight="1">
      <c r="A165" s="469"/>
      <c r="B165" s="469"/>
      <c r="C165" s="469"/>
      <c r="D165" s="106">
        <v>156</v>
      </c>
      <c r="E165" s="106" t="s">
        <v>261</v>
      </c>
      <c r="F165" s="120"/>
      <c r="G165" s="120"/>
      <c r="H165" s="120"/>
      <c r="I165" s="121"/>
      <c r="J165" s="125">
        <f t="shared" si="16"/>
        <v>0</v>
      </c>
      <c r="K165" s="122"/>
      <c r="L165" s="423">
        <f>1.192849+161.519</f>
        <v>162.711849</v>
      </c>
      <c r="M165" s="116" t="s">
        <v>431</v>
      </c>
      <c r="N165" s="120"/>
      <c r="O165" s="120"/>
      <c r="P165" s="116">
        <f t="shared" si="17"/>
        <v>0</v>
      </c>
      <c r="Q165" s="120"/>
      <c r="R165" s="120"/>
      <c r="S165" s="121"/>
      <c r="T165" s="121"/>
      <c r="U165" s="115"/>
      <c r="V165" s="120"/>
      <c r="W165" s="117"/>
      <c r="X165" s="117">
        <f t="shared" si="2"/>
        <v>162.711849</v>
      </c>
      <c r="Y165" s="135" t="s">
        <v>1036</v>
      </c>
    </row>
    <row r="166" spans="1:25" ht="31.5">
      <c r="A166" s="469"/>
      <c r="B166" s="469"/>
      <c r="C166" s="469"/>
      <c r="D166" s="106">
        <v>157</v>
      </c>
      <c r="E166" s="106" t="s">
        <v>262</v>
      </c>
      <c r="F166" s="120"/>
      <c r="G166" s="120"/>
      <c r="H166" s="120"/>
      <c r="I166" s="120"/>
      <c r="J166" s="116">
        <f t="shared" si="16"/>
        <v>0</v>
      </c>
      <c r="K166" s="120"/>
      <c r="L166" s="120"/>
      <c r="M166" s="120"/>
      <c r="N166" s="120"/>
      <c r="O166" s="120"/>
      <c r="P166" s="116">
        <f t="shared" si="17"/>
        <v>0</v>
      </c>
      <c r="Q166" s="120"/>
      <c r="R166" s="120"/>
      <c r="S166" s="120"/>
      <c r="T166" s="120"/>
      <c r="U166" s="106"/>
      <c r="V166" s="120"/>
      <c r="W166" s="117"/>
      <c r="X166" s="117">
        <f t="shared" si="2"/>
        <v>0</v>
      </c>
      <c r="Y166" s="135"/>
    </row>
    <row r="167" spans="1:25" ht="31.5">
      <c r="A167" s="469"/>
      <c r="B167" s="469"/>
      <c r="C167" s="469"/>
      <c r="D167" s="106">
        <v>158</v>
      </c>
      <c r="E167" s="106" t="s">
        <v>263</v>
      </c>
      <c r="F167" s="120"/>
      <c r="G167" s="120"/>
      <c r="H167" s="120"/>
      <c r="I167" s="120"/>
      <c r="J167" s="116">
        <f t="shared" si="16"/>
        <v>0</v>
      </c>
      <c r="K167" s="120"/>
      <c r="L167" s="120"/>
      <c r="M167" s="120"/>
      <c r="N167" s="120"/>
      <c r="O167" s="120"/>
      <c r="P167" s="116">
        <f t="shared" si="17"/>
        <v>0</v>
      </c>
      <c r="Q167" s="120"/>
      <c r="R167" s="120"/>
      <c r="S167" s="120"/>
      <c r="T167" s="120"/>
      <c r="U167" s="106"/>
      <c r="V167" s="120"/>
      <c r="W167" s="117"/>
      <c r="X167" s="117">
        <f t="shared" si="2"/>
        <v>0</v>
      </c>
      <c r="Y167" s="135"/>
    </row>
    <row r="168" spans="1:25" ht="220.5">
      <c r="A168" s="469"/>
      <c r="B168" s="476" t="s">
        <v>264</v>
      </c>
      <c r="C168" s="476" t="s">
        <v>216</v>
      </c>
      <c r="D168" s="106">
        <v>159</v>
      </c>
      <c r="E168" s="106" t="s">
        <v>217</v>
      </c>
      <c r="F168" s="120"/>
      <c r="G168" s="120"/>
      <c r="H168" s="120"/>
      <c r="I168" s="120"/>
      <c r="J168" s="116">
        <f t="shared" si="16"/>
        <v>0</v>
      </c>
      <c r="K168" s="120"/>
      <c r="L168" s="120"/>
      <c r="M168" s="120"/>
      <c r="N168" s="120"/>
      <c r="O168" s="122"/>
      <c r="P168" s="117">
        <f t="shared" si="17"/>
        <v>0</v>
      </c>
      <c r="Q168" s="120"/>
      <c r="R168" s="120"/>
      <c r="S168" s="121"/>
      <c r="T168" s="121">
        <f>500+8.09+46.1+26.13</f>
        <v>580.31999999999994</v>
      </c>
      <c r="U168" s="106"/>
      <c r="V168" s="120"/>
      <c r="W168" s="117"/>
      <c r="X168" s="117">
        <f t="shared" si="2"/>
        <v>580.31999999999994</v>
      </c>
      <c r="Y168" s="180" t="s">
        <v>432</v>
      </c>
    </row>
    <row r="169" spans="1:25" ht="15.75">
      <c r="A169" s="469"/>
      <c r="B169" s="469"/>
      <c r="C169" s="469"/>
      <c r="D169" s="106">
        <v>160</v>
      </c>
      <c r="E169" s="106" t="s">
        <v>265</v>
      </c>
      <c r="F169" s="120"/>
      <c r="G169" s="120"/>
      <c r="H169" s="120"/>
      <c r="I169" s="120"/>
      <c r="J169" s="116">
        <f t="shared" si="16"/>
        <v>0</v>
      </c>
      <c r="K169" s="120"/>
      <c r="L169" s="120"/>
      <c r="M169" s="120"/>
      <c r="N169" s="120"/>
      <c r="O169" s="120"/>
      <c r="P169" s="116">
        <f t="shared" si="17"/>
        <v>0</v>
      </c>
      <c r="Q169" s="120"/>
      <c r="R169" s="120"/>
      <c r="S169" s="120"/>
      <c r="T169" s="120"/>
      <c r="U169" s="106"/>
      <c r="V169" s="120"/>
      <c r="W169" s="117"/>
      <c r="X169" s="117">
        <f t="shared" si="2"/>
        <v>0</v>
      </c>
      <c r="Y169" s="127"/>
    </row>
    <row r="170" spans="1:25" ht="15.75">
      <c r="A170" s="469"/>
      <c r="B170" s="469"/>
      <c r="C170" s="469"/>
      <c r="D170" s="106">
        <v>161</v>
      </c>
      <c r="E170" s="106" t="s">
        <v>219</v>
      </c>
      <c r="F170" s="120"/>
      <c r="G170" s="120"/>
      <c r="H170" s="120"/>
      <c r="I170" s="120"/>
      <c r="J170" s="116">
        <f t="shared" si="16"/>
        <v>0</v>
      </c>
      <c r="K170" s="120"/>
      <c r="L170" s="120"/>
      <c r="M170" s="120"/>
      <c r="N170" s="120"/>
      <c r="O170" s="120"/>
      <c r="P170" s="116">
        <f t="shared" si="17"/>
        <v>0</v>
      </c>
      <c r="Q170" s="120"/>
      <c r="R170" s="120"/>
      <c r="S170" s="120"/>
      <c r="T170" s="120"/>
      <c r="U170" s="106"/>
      <c r="V170" s="120"/>
      <c r="W170" s="117"/>
      <c r="X170" s="117">
        <f t="shared" si="2"/>
        <v>0</v>
      </c>
      <c r="Y170" s="135"/>
    </row>
    <row r="171" spans="1:25" ht="15.75">
      <c r="A171" s="469"/>
      <c r="B171" s="469"/>
      <c r="C171" s="469"/>
      <c r="D171" s="106">
        <v>162</v>
      </c>
      <c r="E171" s="106" t="s">
        <v>220</v>
      </c>
      <c r="F171" s="120"/>
      <c r="G171" s="120"/>
      <c r="H171" s="120"/>
      <c r="I171" s="120"/>
      <c r="J171" s="116">
        <f t="shared" si="16"/>
        <v>0</v>
      </c>
      <c r="K171" s="120"/>
      <c r="L171" s="120"/>
      <c r="M171" s="120"/>
      <c r="N171" s="120"/>
      <c r="O171" s="120"/>
      <c r="P171" s="116">
        <f t="shared" si="17"/>
        <v>0</v>
      </c>
      <c r="Q171" s="120"/>
      <c r="R171" s="120"/>
      <c r="S171" s="120"/>
      <c r="T171" s="120"/>
      <c r="U171" s="106"/>
      <c r="V171" s="120"/>
      <c r="W171" s="117"/>
      <c r="X171" s="117">
        <f t="shared" si="2"/>
        <v>0</v>
      </c>
      <c r="Y171" s="135"/>
    </row>
    <row r="172" spans="1:25" ht="47.25">
      <c r="A172" s="469"/>
      <c r="B172" s="469"/>
      <c r="C172" s="469"/>
      <c r="D172" s="106">
        <v>163</v>
      </c>
      <c r="E172" s="106" t="s">
        <v>266</v>
      </c>
      <c r="F172" s="120"/>
      <c r="G172" s="120"/>
      <c r="H172" s="120"/>
      <c r="I172" s="120"/>
      <c r="J172" s="116">
        <f t="shared" si="16"/>
        <v>0</v>
      </c>
      <c r="K172" s="120"/>
      <c r="L172" s="120"/>
      <c r="M172" s="120"/>
      <c r="N172" s="120"/>
      <c r="O172" s="120"/>
      <c r="P172" s="116">
        <f t="shared" si="17"/>
        <v>0</v>
      </c>
      <c r="Q172" s="120"/>
      <c r="R172" s="120"/>
      <c r="S172" s="121"/>
      <c r="T172" s="121">
        <f>197.14+1.12</f>
        <v>198.26</v>
      </c>
      <c r="U172" s="106"/>
      <c r="V172" s="120"/>
      <c r="W172" s="117"/>
      <c r="X172" s="117">
        <f t="shared" si="2"/>
        <v>198.26</v>
      </c>
      <c r="Y172" s="180" t="s">
        <v>433</v>
      </c>
    </row>
    <row r="173" spans="1:25" ht="31.5">
      <c r="A173" s="469"/>
      <c r="B173" s="476" t="s">
        <v>267</v>
      </c>
      <c r="C173" s="476" t="s">
        <v>268</v>
      </c>
      <c r="D173" s="106">
        <v>164</v>
      </c>
      <c r="E173" s="106" t="s">
        <v>269</v>
      </c>
      <c r="F173" s="120"/>
      <c r="G173" s="121"/>
      <c r="H173" s="121">
        <v>939</v>
      </c>
      <c r="I173" s="121"/>
      <c r="J173" s="116">
        <f t="shared" si="16"/>
        <v>939</v>
      </c>
      <c r="K173" s="115"/>
      <c r="L173" s="118"/>
      <c r="M173" s="120"/>
      <c r="N173" s="120"/>
      <c r="O173" s="120"/>
      <c r="P173" s="116">
        <f t="shared" si="17"/>
        <v>0</v>
      </c>
      <c r="Q173" s="120"/>
      <c r="R173" s="120"/>
      <c r="S173" s="120"/>
      <c r="T173" s="120"/>
      <c r="U173" s="106"/>
      <c r="V173" s="120"/>
      <c r="W173" s="117"/>
      <c r="X173" s="117">
        <f t="shared" si="2"/>
        <v>939</v>
      </c>
      <c r="Y173" s="135" t="s">
        <v>434</v>
      </c>
    </row>
    <row r="174" spans="1:25" ht="15.75">
      <c r="A174" s="469"/>
      <c r="B174" s="469"/>
      <c r="C174" s="469"/>
      <c r="D174" s="106">
        <v>165</v>
      </c>
      <c r="E174" s="106" t="s">
        <v>270</v>
      </c>
      <c r="F174" s="120"/>
      <c r="G174" s="121"/>
      <c r="H174" s="121">
        <v>494</v>
      </c>
      <c r="I174" s="121"/>
      <c r="J174" s="125">
        <f t="shared" ref="J174:J215" si="18">H174+I174</f>
        <v>494</v>
      </c>
      <c r="K174" s="120"/>
      <c r="L174" s="120"/>
      <c r="M174" s="120"/>
      <c r="N174" s="120"/>
      <c r="O174" s="120"/>
      <c r="P174" s="116">
        <f t="shared" si="17"/>
        <v>0</v>
      </c>
      <c r="Q174" s="120"/>
      <c r="R174" s="120"/>
      <c r="S174" s="120"/>
      <c r="T174" s="120"/>
      <c r="U174" s="106"/>
      <c r="V174" s="120"/>
      <c r="W174" s="117"/>
      <c r="X174" s="117">
        <f t="shared" si="2"/>
        <v>494</v>
      </c>
      <c r="Y174" s="135" t="s">
        <v>347</v>
      </c>
    </row>
    <row r="175" spans="1:25" ht="31.5">
      <c r="A175" s="469"/>
      <c r="B175" s="469"/>
      <c r="C175" s="469"/>
      <c r="D175" s="106">
        <v>166</v>
      </c>
      <c r="E175" s="106" t="s">
        <v>271</v>
      </c>
      <c r="F175" s="120"/>
      <c r="G175" s="121"/>
      <c r="H175" s="121">
        <v>360</v>
      </c>
      <c r="I175" s="121"/>
      <c r="J175" s="125">
        <f t="shared" si="18"/>
        <v>360</v>
      </c>
      <c r="K175" s="120"/>
      <c r="L175" s="120"/>
      <c r="M175" s="120"/>
      <c r="N175" s="120"/>
      <c r="O175" s="120"/>
      <c r="P175" s="116">
        <f t="shared" si="17"/>
        <v>0</v>
      </c>
      <c r="Q175" s="120"/>
      <c r="R175" s="120"/>
      <c r="S175" s="120"/>
      <c r="T175" s="120"/>
      <c r="U175" s="106"/>
      <c r="V175" s="120"/>
      <c r="W175" s="117"/>
      <c r="X175" s="117">
        <f t="shared" si="2"/>
        <v>360</v>
      </c>
      <c r="Y175" s="135" t="s">
        <v>347</v>
      </c>
    </row>
    <row r="176" spans="1:25" ht="15.75">
      <c r="A176" s="469"/>
      <c r="B176" s="469"/>
      <c r="C176" s="469"/>
      <c r="D176" s="106">
        <v>167</v>
      </c>
      <c r="E176" s="106" t="s">
        <v>272</v>
      </c>
      <c r="F176" s="120"/>
      <c r="G176" s="121"/>
      <c r="H176" s="121">
        <v>1505</v>
      </c>
      <c r="I176" s="121"/>
      <c r="J176" s="125">
        <f t="shared" si="18"/>
        <v>1505</v>
      </c>
      <c r="K176" s="120"/>
      <c r="L176" s="120"/>
      <c r="M176" s="120"/>
      <c r="N176" s="120"/>
      <c r="O176" s="120"/>
      <c r="P176" s="116">
        <f t="shared" si="17"/>
        <v>0</v>
      </c>
      <c r="Q176" s="120"/>
      <c r="R176" s="120"/>
      <c r="S176" s="120"/>
      <c r="T176" s="120"/>
      <c r="U176" s="106"/>
      <c r="V176" s="120"/>
      <c r="W176" s="117"/>
      <c r="X176" s="117">
        <f t="shared" si="2"/>
        <v>1505</v>
      </c>
      <c r="Y176" s="135" t="s">
        <v>347</v>
      </c>
    </row>
    <row r="177" spans="1:25" ht="15.75">
      <c r="A177" s="469"/>
      <c r="B177" s="469"/>
      <c r="C177" s="469"/>
      <c r="D177" s="106">
        <v>168</v>
      </c>
      <c r="E177" s="106" t="s">
        <v>273</v>
      </c>
      <c r="F177" s="120"/>
      <c r="G177" s="121"/>
      <c r="H177" s="121">
        <v>369</v>
      </c>
      <c r="I177" s="121"/>
      <c r="J177" s="125">
        <f t="shared" si="18"/>
        <v>369</v>
      </c>
      <c r="K177" s="120"/>
      <c r="L177" s="120"/>
      <c r="M177" s="120"/>
      <c r="N177" s="120"/>
      <c r="O177" s="120"/>
      <c r="P177" s="116">
        <f t="shared" si="17"/>
        <v>0</v>
      </c>
      <c r="Q177" s="120"/>
      <c r="R177" s="120"/>
      <c r="S177" s="120"/>
      <c r="T177" s="120"/>
      <c r="U177" s="106"/>
      <c r="V177" s="120"/>
      <c r="W177" s="117"/>
      <c r="X177" s="117">
        <f t="shared" si="2"/>
        <v>369</v>
      </c>
      <c r="Y177" s="135" t="s">
        <v>347</v>
      </c>
    </row>
    <row r="178" spans="1:25" ht="47.25">
      <c r="A178" s="469"/>
      <c r="B178" s="469"/>
      <c r="C178" s="469"/>
      <c r="D178" s="106">
        <v>169</v>
      </c>
      <c r="E178" s="106" t="s">
        <v>274</v>
      </c>
      <c r="F178" s="120"/>
      <c r="G178" s="121"/>
      <c r="H178" s="121">
        <v>415</v>
      </c>
      <c r="I178" s="121"/>
      <c r="J178" s="125">
        <f t="shared" si="18"/>
        <v>415</v>
      </c>
      <c r="K178" s="122"/>
      <c r="L178" s="423">
        <f>225.4091+496.5</f>
        <v>721.90909999999997</v>
      </c>
      <c r="M178" s="116" t="s">
        <v>435</v>
      </c>
      <c r="N178" s="120"/>
      <c r="O178" s="120"/>
      <c r="P178" s="116">
        <f t="shared" si="17"/>
        <v>0</v>
      </c>
      <c r="Q178" s="120"/>
      <c r="R178" s="120"/>
      <c r="S178" s="120"/>
      <c r="T178" s="120"/>
      <c r="U178" s="106"/>
      <c r="V178" s="120"/>
      <c r="W178" s="117"/>
      <c r="X178" s="117">
        <f t="shared" si="2"/>
        <v>1136.9090999999999</v>
      </c>
      <c r="Y178" s="135" t="s">
        <v>347</v>
      </c>
    </row>
    <row r="179" spans="1:25" ht="78.75">
      <c r="A179" s="469"/>
      <c r="B179" s="469"/>
      <c r="C179" s="469"/>
      <c r="D179" s="106">
        <v>170</v>
      </c>
      <c r="E179" s="106" t="s">
        <v>275</v>
      </c>
      <c r="F179" s="120"/>
      <c r="G179" s="120"/>
      <c r="H179" s="120">
        <v>528</v>
      </c>
      <c r="I179" s="121">
        <v>20</v>
      </c>
      <c r="J179" s="125">
        <f t="shared" si="18"/>
        <v>548</v>
      </c>
      <c r="K179" s="115" t="s">
        <v>434</v>
      </c>
      <c r="L179" s="120"/>
      <c r="M179" s="120"/>
      <c r="N179" s="120"/>
      <c r="O179" s="120"/>
      <c r="P179" s="116">
        <f t="shared" si="17"/>
        <v>0</v>
      </c>
      <c r="Q179" s="120"/>
      <c r="R179" s="120"/>
      <c r="S179" s="120"/>
      <c r="T179" s="122"/>
      <c r="U179" s="98"/>
      <c r="V179" s="120"/>
      <c r="W179" s="117"/>
      <c r="X179" s="117">
        <f t="shared" si="2"/>
        <v>548</v>
      </c>
      <c r="Y179" s="135" t="s">
        <v>347</v>
      </c>
    </row>
    <row r="180" spans="1:25" ht="31.5">
      <c r="A180" s="469"/>
      <c r="B180" s="476" t="s">
        <v>276</v>
      </c>
      <c r="C180" s="476" t="s">
        <v>277</v>
      </c>
      <c r="D180" s="106">
        <v>171</v>
      </c>
      <c r="E180" s="106" t="s">
        <v>278</v>
      </c>
      <c r="F180" s="120"/>
      <c r="G180" s="120"/>
      <c r="H180" s="120"/>
      <c r="I180" s="120"/>
      <c r="J180" s="116">
        <f t="shared" si="18"/>
        <v>0</v>
      </c>
      <c r="K180" s="120"/>
      <c r="L180" s="120"/>
      <c r="M180" s="120"/>
      <c r="N180" s="120"/>
      <c r="O180" s="120"/>
      <c r="P180" s="116">
        <f t="shared" si="17"/>
        <v>0</v>
      </c>
      <c r="Q180" s="120"/>
      <c r="R180" s="120"/>
      <c r="S180" s="120"/>
      <c r="T180" s="122"/>
      <c r="U180" s="98"/>
      <c r="V180" s="120"/>
      <c r="W180" s="117"/>
      <c r="X180" s="117">
        <f t="shared" si="2"/>
        <v>0</v>
      </c>
      <c r="Y180" s="135"/>
    </row>
    <row r="181" spans="1:25" ht="47.25">
      <c r="A181" s="469"/>
      <c r="B181" s="469"/>
      <c r="C181" s="469"/>
      <c r="D181" s="106">
        <v>172</v>
      </c>
      <c r="E181" s="106" t="s">
        <v>279</v>
      </c>
      <c r="F181" s="120"/>
      <c r="G181" s="120"/>
      <c r="H181" s="120"/>
      <c r="I181" s="120"/>
      <c r="J181" s="116">
        <f t="shared" si="18"/>
        <v>0</v>
      </c>
      <c r="K181" s="120"/>
      <c r="L181" s="120"/>
      <c r="M181" s="120"/>
      <c r="N181" s="120"/>
      <c r="O181" s="120"/>
      <c r="P181" s="116">
        <f t="shared" si="17"/>
        <v>0</v>
      </c>
      <c r="Q181" s="120"/>
      <c r="R181" s="120"/>
      <c r="S181" s="122"/>
      <c r="T181" s="122">
        <f>315*1.37388*12+2000</f>
        <v>7193.2664000000004</v>
      </c>
      <c r="V181" s="120"/>
      <c r="W181" s="117"/>
      <c r="X181" s="117">
        <f t="shared" si="2"/>
        <v>7193.2664000000004</v>
      </c>
      <c r="Y181" s="135" t="s">
        <v>1240</v>
      </c>
    </row>
    <row r="182" spans="1:25" ht="31.5">
      <c r="A182" s="469"/>
      <c r="B182" s="469"/>
      <c r="C182" s="469"/>
      <c r="D182" s="106">
        <v>173</v>
      </c>
      <c r="E182" s="106" t="s">
        <v>280</v>
      </c>
      <c r="F182" s="120"/>
      <c r="G182" s="120"/>
      <c r="H182" s="120"/>
      <c r="I182" s="120"/>
      <c r="J182" s="116">
        <f t="shared" si="18"/>
        <v>0</v>
      </c>
      <c r="K182" s="120"/>
      <c r="L182" s="120"/>
      <c r="M182" s="120"/>
      <c r="N182" s="120"/>
      <c r="O182" s="120"/>
      <c r="P182" s="116">
        <f t="shared" si="17"/>
        <v>0</v>
      </c>
      <c r="Q182" s="120"/>
      <c r="R182" s="120"/>
      <c r="S182" s="120"/>
      <c r="T182" s="120"/>
      <c r="U182" s="106"/>
      <c r="V182" s="120"/>
      <c r="W182" s="117"/>
      <c r="X182" s="117">
        <f t="shared" si="2"/>
        <v>0</v>
      </c>
      <c r="Y182" s="135"/>
    </row>
    <row r="183" spans="1:25" ht="15.75">
      <c r="A183" s="469"/>
      <c r="B183" s="469"/>
      <c r="C183" s="469"/>
      <c r="D183" s="106">
        <v>174</v>
      </c>
      <c r="E183" s="106" t="s">
        <v>281</v>
      </c>
      <c r="F183" s="120"/>
      <c r="G183" s="120"/>
      <c r="H183" s="120"/>
      <c r="I183" s="120"/>
      <c r="J183" s="116">
        <f t="shared" si="18"/>
        <v>0</v>
      </c>
      <c r="K183" s="120"/>
      <c r="L183" s="120"/>
      <c r="M183" s="120"/>
      <c r="N183" s="120"/>
      <c r="O183" s="120"/>
      <c r="P183" s="116">
        <f t="shared" si="17"/>
        <v>0</v>
      </c>
      <c r="Q183" s="120"/>
      <c r="R183" s="120"/>
      <c r="S183" s="122"/>
      <c r="T183" s="122"/>
      <c r="U183" s="106"/>
      <c r="V183" s="120"/>
      <c r="W183" s="117"/>
      <c r="X183" s="117">
        <f t="shared" si="2"/>
        <v>0</v>
      </c>
      <c r="Y183" s="135"/>
    </row>
    <row r="184" spans="1:25" ht="220.5">
      <c r="A184" s="469"/>
      <c r="B184" s="476" t="s">
        <v>282</v>
      </c>
      <c r="C184" s="476" t="s">
        <v>230</v>
      </c>
      <c r="D184" s="106">
        <v>175</v>
      </c>
      <c r="E184" s="106" t="s">
        <v>231</v>
      </c>
      <c r="F184" s="167"/>
      <c r="G184" s="167"/>
      <c r="H184" s="167"/>
      <c r="I184" s="167"/>
      <c r="J184" s="116">
        <f t="shared" si="18"/>
        <v>0</v>
      </c>
      <c r="K184" s="168"/>
      <c r="L184" s="168">
        <v>0</v>
      </c>
      <c r="M184" s="167" t="s">
        <v>437</v>
      </c>
      <c r="N184" s="167"/>
      <c r="O184" s="167"/>
      <c r="P184" s="116">
        <f t="shared" si="17"/>
        <v>0</v>
      </c>
      <c r="Q184" s="167"/>
      <c r="R184" s="167"/>
      <c r="S184" s="168"/>
      <c r="T184" s="168">
        <v>1464.43</v>
      </c>
      <c r="U184" s="169"/>
      <c r="V184" s="168"/>
      <c r="W184" s="117"/>
      <c r="X184" s="117">
        <f t="shared" si="2"/>
        <v>1464.43</v>
      </c>
      <c r="Y184" s="135" t="s">
        <v>705</v>
      </c>
    </row>
    <row r="185" spans="1:25" ht="409.5">
      <c r="A185" s="469"/>
      <c r="B185" s="469"/>
      <c r="C185" s="469"/>
      <c r="D185" s="106">
        <v>176</v>
      </c>
      <c r="E185" s="106" t="s">
        <v>232</v>
      </c>
      <c r="F185" s="120"/>
      <c r="G185" s="120"/>
      <c r="H185" s="120"/>
      <c r="I185" s="120"/>
      <c r="J185" s="116">
        <f t="shared" si="18"/>
        <v>0</v>
      </c>
      <c r="K185" s="120"/>
      <c r="L185" s="120"/>
      <c r="M185" s="120"/>
      <c r="N185" s="120"/>
      <c r="O185" s="120"/>
      <c r="P185" s="116">
        <f t="shared" si="17"/>
        <v>0</v>
      </c>
      <c r="Q185" s="121"/>
      <c r="R185" s="121"/>
      <c r="S185" s="121"/>
      <c r="T185" s="121">
        <f>376.4+370</f>
        <v>746.4</v>
      </c>
      <c r="U185" s="106"/>
      <c r="V185" s="120"/>
      <c r="W185" s="117"/>
      <c r="X185" s="117">
        <f t="shared" si="2"/>
        <v>746.4</v>
      </c>
      <c r="Y185" s="241" t="s">
        <v>706</v>
      </c>
    </row>
    <row r="186" spans="1:25" ht="29.25" hidden="1" customHeight="1">
      <c r="A186" s="469"/>
      <c r="B186" s="469"/>
      <c r="C186" s="469"/>
      <c r="D186" s="106">
        <v>177</v>
      </c>
      <c r="E186" s="106" t="s">
        <v>233</v>
      </c>
      <c r="F186" s="120"/>
      <c r="G186" s="120"/>
      <c r="H186" s="120"/>
      <c r="I186" s="120"/>
      <c r="J186" s="116">
        <f t="shared" si="18"/>
        <v>0</v>
      </c>
      <c r="K186" s="120"/>
      <c r="L186" s="120"/>
      <c r="M186" s="120"/>
      <c r="N186" s="120"/>
      <c r="O186" s="120"/>
      <c r="P186" s="116">
        <f t="shared" si="17"/>
        <v>0</v>
      </c>
      <c r="Q186" s="120"/>
      <c r="R186" s="120"/>
      <c r="S186" s="120"/>
      <c r="T186" s="120"/>
      <c r="U186" s="106"/>
      <c r="V186" s="120"/>
      <c r="W186" s="117"/>
      <c r="X186" s="117">
        <f t="shared" si="2"/>
        <v>0</v>
      </c>
      <c r="Y186" s="180"/>
    </row>
    <row r="187" spans="1:25" ht="47.25">
      <c r="A187" s="469"/>
      <c r="B187" s="476" t="s">
        <v>283</v>
      </c>
      <c r="C187" s="476" t="s">
        <v>284</v>
      </c>
      <c r="D187" s="106">
        <v>178</v>
      </c>
      <c r="E187" s="106" t="s">
        <v>285</v>
      </c>
      <c r="F187" s="120"/>
      <c r="G187" s="120"/>
      <c r="H187" s="120"/>
      <c r="I187" s="120"/>
      <c r="J187" s="116">
        <f t="shared" si="18"/>
        <v>0</v>
      </c>
      <c r="K187" s="120"/>
      <c r="L187" s="120"/>
      <c r="M187" s="120"/>
      <c r="N187" s="120"/>
      <c r="O187" s="120"/>
      <c r="P187" s="116">
        <f t="shared" si="17"/>
        <v>0</v>
      </c>
      <c r="Q187" s="120"/>
      <c r="R187" s="120"/>
      <c r="S187" s="120"/>
      <c r="T187" s="120"/>
      <c r="U187" s="106"/>
      <c r="V187" s="120"/>
      <c r="W187" s="117"/>
      <c r="X187" s="117">
        <f t="shared" si="2"/>
        <v>0</v>
      </c>
      <c r="Y187" s="135"/>
    </row>
    <row r="188" spans="1:25" ht="15.75">
      <c r="A188" s="469"/>
      <c r="B188" s="469"/>
      <c r="C188" s="469"/>
      <c r="D188" s="106">
        <v>179</v>
      </c>
      <c r="E188" s="106" t="s">
        <v>125</v>
      </c>
      <c r="F188" s="120"/>
      <c r="G188" s="120"/>
      <c r="H188" s="120"/>
      <c r="I188" s="120"/>
      <c r="J188" s="116">
        <f t="shared" si="18"/>
        <v>0</v>
      </c>
      <c r="K188" s="120"/>
      <c r="L188" s="120"/>
      <c r="M188" s="120"/>
      <c r="N188" s="120"/>
      <c r="O188" s="120"/>
      <c r="P188" s="116">
        <f t="shared" si="17"/>
        <v>0</v>
      </c>
      <c r="Q188" s="120"/>
      <c r="R188" s="120"/>
      <c r="S188" s="120"/>
      <c r="T188" s="120"/>
      <c r="U188" s="106"/>
      <c r="V188" s="120"/>
      <c r="W188" s="117"/>
      <c r="X188" s="117">
        <f t="shared" si="2"/>
        <v>0</v>
      </c>
      <c r="Y188" s="127"/>
    </row>
    <row r="189" spans="1:25" ht="144" customHeight="1">
      <c r="A189" s="469"/>
      <c r="B189" s="469"/>
      <c r="C189" s="469"/>
      <c r="D189" s="106">
        <v>180</v>
      </c>
      <c r="E189" s="106" t="s">
        <v>286</v>
      </c>
      <c r="F189" s="120"/>
      <c r="G189" s="120"/>
      <c r="H189" s="120"/>
      <c r="I189" s="120"/>
      <c r="J189" s="116">
        <f t="shared" si="18"/>
        <v>0</v>
      </c>
      <c r="K189" s="120"/>
      <c r="L189" s="120"/>
      <c r="M189" s="120"/>
      <c r="N189" s="120"/>
      <c r="O189" s="122">
        <f>2750+1400+370+180+472.5+1276.65547</f>
        <v>6449.1554699999997</v>
      </c>
      <c r="P189" s="117">
        <f t="shared" si="17"/>
        <v>6449.1554699999997</v>
      </c>
      <c r="Q189" s="120"/>
      <c r="R189" s="120"/>
      <c r="S189" s="121"/>
      <c r="T189" s="121"/>
      <c r="U189" s="106"/>
      <c r="V189" s="120"/>
      <c r="W189" s="117"/>
      <c r="X189" s="117">
        <f t="shared" si="2"/>
        <v>6449.1554699999997</v>
      </c>
      <c r="Y189" s="180" t="s">
        <v>438</v>
      </c>
    </row>
    <row r="190" spans="1:25" ht="110.25">
      <c r="A190" s="469"/>
      <c r="B190" s="469"/>
      <c r="C190" s="469"/>
      <c r="D190" s="106">
        <v>181</v>
      </c>
      <c r="E190" s="106" t="s">
        <v>287</v>
      </c>
      <c r="F190" s="120"/>
      <c r="G190" s="120"/>
      <c r="H190" s="120"/>
      <c r="I190" s="120"/>
      <c r="J190" s="116">
        <f t="shared" si="18"/>
        <v>0</v>
      </c>
      <c r="K190" s="120"/>
      <c r="L190" s="118">
        <v>47.071420000000003</v>
      </c>
      <c r="M190" s="98" t="s">
        <v>1038</v>
      </c>
      <c r="N190" s="120"/>
      <c r="O190" s="120"/>
      <c r="P190" s="116">
        <f t="shared" si="17"/>
        <v>0</v>
      </c>
      <c r="Q190" s="120"/>
      <c r="R190" s="120">
        <v>315.95999999999998</v>
      </c>
      <c r="T190" s="120"/>
      <c r="U190" s="106"/>
      <c r="V190" s="120"/>
      <c r="W190" s="117"/>
      <c r="X190" s="117">
        <f t="shared" si="2"/>
        <v>363.03141999999997</v>
      </c>
      <c r="Y190" s="135" t="s">
        <v>439</v>
      </c>
    </row>
    <row r="191" spans="1:25" ht="220.5">
      <c r="A191" s="469"/>
      <c r="B191" s="469"/>
      <c r="C191" s="469"/>
      <c r="D191" s="106">
        <v>182</v>
      </c>
      <c r="E191" s="106" t="s">
        <v>288</v>
      </c>
      <c r="F191" s="120"/>
      <c r="G191" s="120"/>
      <c r="H191" s="120"/>
      <c r="I191" s="120"/>
      <c r="J191" s="116">
        <f t="shared" si="18"/>
        <v>0</v>
      </c>
      <c r="K191" s="120"/>
      <c r="L191" s="120"/>
      <c r="M191" s="120"/>
      <c r="N191" s="120"/>
      <c r="O191" s="120"/>
      <c r="P191" s="116">
        <f t="shared" si="17"/>
        <v>0</v>
      </c>
      <c r="Q191" s="120"/>
      <c r="R191" s="120"/>
      <c r="S191" s="122"/>
      <c r="T191" s="155">
        <f>(2*2.25*6)+(3*2.25*6)+(3*2.25*6)+(1*2.25*6)+(3*2.25*6)+(4*2.25*6)+(4*2.25*6)</f>
        <v>270</v>
      </c>
      <c r="U191" s="106"/>
      <c r="V191" s="120"/>
      <c r="W191" s="117"/>
      <c r="X191" s="117">
        <f t="shared" si="2"/>
        <v>270</v>
      </c>
      <c r="Y191" s="224" t="s">
        <v>715</v>
      </c>
    </row>
    <row r="192" spans="1:25" ht="36" customHeight="1">
      <c r="A192" s="469"/>
      <c r="B192" s="469"/>
      <c r="C192" s="469"/>
      <c r="D192" s="106">
        <v>183</v>
      </c>
      <c r="E192" s="106" t="s">
        <v>289</v>
      </c>
      <c r="F192" s="120"/>
      <c r="G192" s="120"/>
      <c r="H192" s="120"/>
      <c r="I192" s="120"/>
      <c r="J192" s="116">
        <f t="shared" si="18"/>
        <v>0</v>
      </c>
      <c r="K192" s="120"/>
      <c r="L192" s="120"/>
      <c r="M192" s="120"/>
      <c r="N192" s="120"/>
      <c r="O192" s="120"/>
      <c r="P192" s="116">
        <f t="shared" si="17"/>
        <v>0</v>
      </c>
      <c r="Q192" s="120"/>
      <c r="R192" s="120"/>
      <c r="S192" s="121"/>
      <c r="T192" s="121"/>
      <c r="U192" s="106"/>
      <c r="V192" s="120"/>
      <c r="W192" s="117"/>
      <c r="X192" s="117">
        <f t="shared" si="2"/>
        <v>0</v>
      </c>
      <c r="Y192" s="127"/>
    </row>
    <row r="193" spans="1:25" ht="47.25">
      <c r="A193" s="469"/>
      <c r="B193" s="106" t="s">
        <v>290</v>
      </c>
      <c r="C193" s="106" t="s">
        <v>291</v>
      </c>
      <c r="D193" s="106">
        <v>184</v>
      </c>
      <c r="E193" s="106" t="s">
        <v>292</v>
      </c>
      <c r="F193" s="120"/>
      <c r="G193" s="120"/>
      <c r="H193" s="120"/>
      <c r="I193" s="120"/>
      <c r="J193" s="116">
        <f t="shared" si="18"/>
        <v>0</v>
      </c>
      <c r="K193" s="120"/>
      <c r="L193" s="120"/>
      <c r="M193" s="120"/>
      <c r="N193" s="120"/>
      <c r="O193" s="120"/>
      <c r="P193" s="116">
        <f t="shared" si="17"/>
        <v>0</v>
      </c>
      <c r="Q193" s="120"/>
      <c r="R193" s="120"/>
      <c r="S193" s="122"/>
      <c r="T193" s="440">
        <f>3069+1500</f>
        <v>4569</v>
      </c>
      <c r="V193" s="441"/>
      <c r="W193" s="442"/>
      <c r="X193" s="442">
        <f t="shared" si="2"/>
        <v>4569</v>
      </c>
      <c r="Y193" s="336" t="s">
        <v>1241</v>
      </c>
    </row>
    <row r="194" spans="1:25" ht="31.5">
      <c r="A194" s="469"/>
      <c r="B194" s="476" t="s">
        <v>293</v>
      </c>
      <c r="C194" s="476" t="s">
        <v>235</v>
      </c>
      <c r="D194" s="106">
        <v>185</v>
      </c>
      <c r="E194" s="106" t="s">
        <v>236</v>
      </c>
      <c r="F194" s="120"/>
      <c r="G194" s="120"/>
      <c r="H194" s="120"/>
      <c r="I194" s="120"/>
      <c r="J194" s="116">
        <f t="shared" si="18"/>
        <v>0</v>
      </c>
      <c r="K194" s="120"/>
      <c r="L194" s="120"/>
      <c r="M194" s="120"/>
      <c r="N194" s="120"/>
      <c r="O194" s="120"/>
      <c r="P194" s="116">
        <f t="shared" si="17"/>
        <v>0</v>
      </c>
      <c r="Q194" s="120"/>
      <c r="R194" s="120"/>
      <c r="S194" s="120"/>
      <c r="T194" s="431">
        <f>1354.178665-0.001</f>
        <v>1354.1776649999999</v>
      </c>
      <c r="U194" s="106"/>
      <c r="V194" s="120"/>
      <c r="W194" s="117"/>
      <c r="X194" s="117">
        <f t="shared" si="2"/>
        <v>1354.1776649999999</v>
      </c>
      <c r="Y194" s="135" t="s">
        <v>992</v>
      </c>
    </row>
    <row r="195" spans="1:25" ht="131.25" customHeight="1">
      <c r="A195" s="469"/>
      <c r="B195" s="469"/>
      <c r="C195" s="469"/>
      <c r="D195" s="106">
        <v>186</v>
      </c>
      <c r="E195" s="106" t="s">
        <v>237</v>
      </c>
      <c r="F195" s="120"/>
      <c r="G195" s="120"/>
      <c r="H195" s="120"/>
      <c r="I195" s="120"/>
      <c r="J195" s="116">
        <f t="shared" si="18"/>
        <v>0</v>
      </c>
      <c r="K195" s="120"/>
      <c r="L195" s="120"/>
      <c r="M195" s="120"/>
      <c r="N195" s="120"/>
      <c r="O195" s="120"/>
      <c r="P195" s="116">
        <f t="shared" si="17"/>
        <v>0</v>
      </c>
      <c r="Q195" s="120"/>
      <c r="R195" s="120"/>
      <c r="S195" s="121"/>
      <c r="T195" s="121">
        <f>500+15.24+0.005</f>
        <v>515.245</v>
      </c>
      <c r="U195" s="98" t="s">
        <v>440</v>
      </c>
      <c r="V195" s="120"/>
      <c r="W195" s="117"/>
      <c r="X195" s="117">
        <f t="shared" si="2"/>
        <v>515.245</v>
      </c>
      <c r="Y195" s="135" t="s">
        <v>961</v>
      </c>
    </row>
    <row r="196" spans="1:25" ht="27" customHeight="1">
      <c r="A196" s="469"/>
      <c r="B196" s="469"/>
      <c r="C196" s="469"/>
      <c r="D196" s="106">
        <v>187</v>
      </c>
      <c r="E196" s="106" t="s">
        <v>294</v>
      </c>
      <c r="F196" s="120"/>
      <c r="G196" s="120"/>
      <c r="H196" s="120"/>
      <c r="I196" s="120"/>
      <c r="J196" s="116">
        <f t="shared" si="18"/>
        <v>0</v>
      </c>
      <c r="K196" s="120"/>
      <c r="L196" s="120"/>
      <c r="M196" s="120"/>
      <c r="N196" s="120"/>
      <c r="O196" s="120"/>
      <c r="P196" s="116">
        <f t="shared" si="17"/>
        <v>0</v>
      </c>
      <c r="Q196" s="120"/>
      <c r="R196" s="120"/>
      <c r="S196" s="120"/>
      <c r="T196" s="396">
        <v>2.7090000000000001</v>
      </c>
      <c r="U196" s="106"/>
      <c r="V196" s="120"/>
      <c r="W196" s="117"/>
      <c r="X196" s="117">
        <f t="shared" si="2"/>
        <v>2.7090000000000001</v>
      </c>
      <c r="Y196" s="135"/>
    </row>
    <row r="197" spans="1:25" ht="26.25" customHeight="1">
      <c r="A197" s="469"/>
      <c r="B197" s="469"/>
      <c r="C197" s="469"/>
      <c r="D197" s="106">
        <v>188</v>
      </c>
      <c r="E197" s="106" t="s">
        <v>238</v>
      </c>
      <c r="F197" s="120"/>
      <c r="G197" s="120"/>
      <c r="H197" s="120"/>
      <c r="I197" s="120"/>
      <c r="J197" s="116">
        <f t="shared" si="18"/>
        <v>0</v>
      </c>
      <c r="K197" s="120"/>
      <c r="L197" s="120"/>
      <c r="M197" s="120"/>
      <c r="N197" s="120"/>
      <c r="O197" s="120"/>
      <c r="P197" s="116">
        <f t="shared" si="17"/>
        <v>0</v>
      </c>
      <c r="Q197" s="120"/>
      <c r="R197" s="120"/>
      <c r="S197" s="120"/>
      <c r="T197" s="120"/>
      <c r="U197" s="106"/>
      <c r="V197" s="120"/>
      <c r="W197" s="117"/>
      <c r="X197" s="117">
        <f t="shared" si="2"/>
        <v>0</v>
      </c>
      <c r="Y197" s="135"/>
    </row>
    <row r="198" spans="1:25" ht="47.25">
      <c r="A198" s="469"/>
      <c r="B198" s="469"/>
      <c r="C198" s="469"/>
      <c r="D198" s="106">
        <v>189</v>
      </c>
      <c r="E198" s="106" t="s">
        <v>295</v>
      </c>
      <c r="F198" s="120"/>
      <c r="G198" s="120"/>
      <c r="H198" s="120"/>
      <c r="I198" s="120"/>
      <c r="J198" s="116">
        <f t="shared" si="18"/>
        <v>0</v>
      </c>
      <c r="K198" s="120"/>
      <c r="L198" s="120"/>
      <c r="M198" s="120"/>
      <c r="N198" s="120"/>
      <c r="O198" s="120"/>
      <c r="P198" s="116">
        <f t="shared" si="17"/>
        <v>0</v>
      </c>
      <c r="Q198" s="120"/>
      <c r="R198" s="120"/>
      <c r="S198" s="120"/>
      <c r="T198" s="120"/>
      <c r="U198" s="106"/>
      <c r="V198" s="120"/>
      <c r="W198" s="117"/>
      <c r="X198" s="117">
        <f t="shared" si="2"/>
        <v>0</v>
      </c>
      <c r="Y198" s="135"/>
    </row>
    <row r="199" spans="1:25" ht="47.25" hidden="1">
      <c r="A199" s="469"/>
      <c r="B199" s="469"/>
      <c r="C199" s="469"/>
      <c r="D199" s="106">
        <v>190</v>
      </c>
      <c r="E199" s="106" t="s">
        <v>296</v>
      </c>
      <c r="F199" s="120"/>
      <c r="G199" s="120"/>
      <c r="H199" s="120"/>
      <c r="I199" s="120"/>
      <c r="J199" s="116">
        <f t="shared" si="18"/>
        <v>0</v>
      </c>
      <c r="K199" s="120"/>
      <c r="L199" s="120"/>
      <c r="M199" s="120"/>
      <c r="N199" s="120"/>
      <c r="O199" s="120"/>
      <c r="P199" s="116">
        <f t="shared" si="17"/>
        <v>0</v>
      </c>
      <c r="Q199" s="120"/>
      <c r="R199" s="120"/>
      <c r="S199" s="121"/>
      <c r="T199" s="121"/>
      <c r="U199" s="106"/>
      <c r="V199" s="120"/>
      <c r="W199" s="117"/>
      <c r="X199" s="117">
        <f t="shared" si="2"/>
        <v>0</v>
      </c>
      <c r="Y199" s="135"/>
    </row>
    <row r="200" spans="1:25" ht="31.5">
      <c r="A200" s="469"/>
      <c r="B200" s="476" t="s">
        <v>297</v>
      </c>
      <c r="C200" s="476" t="s">
        <v>298</v>
      </c>
      <c r="D200" s="106">
        <v>191</v>
      </c>
      <c r="E200" s="106" t="s">
        <v>299</v>
      </c>
      <c r="F200" s="120"/>
      <c r="G200" s="120"/>
      <c r="H200" s="120"/>
      <c r="I200" s="120"/>
      <c r="J200" s="116">
        <f t="shared" si="18"/>
        <v>0</v>
      </c>
      <c r="K200" s="120"/>
      <c r="L200" s="120"/>
      <c r="M200" s="120"/>
      <c r="N200" s="120"/>
      <c r="O200" s="120"/>
      <c r="P200" s="116">
        <f t="shared" si="17"/>
        <v>0</v>
      </c>
      <c r="Q200" s="120"/>
      <c r="R200" s="120"/>
      <c r="S200" s="120"/>
      <c r="T200" s="122">
        <v>4.3899999999999997</v>
      </c>
      <c r="U200" s="106"/>
      <c r="V200" s="120"/>
      <c r="W200" s="117"/>
      <c r="X200" s="117">
        <f t="shared" si="2"/>
        <v>4.3899999999999997</v>
      </c>
      <c r="Y200" s="241" t="s">
        <v>1197</v>
      </c>
    </row>
    <row r="201" spans="1:25" ht="409.5">
      <c r="A201" s="469"/>
      <c r="B201" s="469"/>
      <c r="C201" s="469"/>
      <c r="D201" s="106">
        <v>192</v>
      </c>
      <c r="E201" s="106" t="s">
        <v>300</v>
      </c>
      <c r="F201" s="120"/>
      <c r="G201" s="120"/>
      <c r="H201" s="120">
        <v>270</v>
      </c>
      <c r="I201" s="432"/>
      <c r="J201" s="433">
        <f t="shared" si="18"/>
        <v>270</v>
      </c>
      <c r="K201" s="434" t="s">
        <v>347</v>
      </c>
      <c r="L201" s="120"/>
      <c r="M201" s="120"/>
      <c r="N201" s="120"/>
      <c r="O201" s="120"/>
      <c r="P201" s="116">
        <f t="shared" si="17"/>
        <v>0</v>
      </c>
      <c r="Q201" s="120"/>
      <c r="R201" s="120"/>
      <c r="S201" s="122"/>
      <c r="T201" s="122">
        <v>11.09</v>
      </c>
      <c r="U201" s="106"/>
      <c r="V201" s="120"/>
      <c r="W201" s="117"/>
      <c r="X201" s="117">
        <f t="shared" si="2"/>
        <v>281.08999999999997</v>
      </c>
      <c r="Y201" s="180" t="s">
        <v>441</v>
      </c>
    </row>
    <row r="202" spans="1:25" ht="31.5">
      <c r="A202" s="469"/>
      <c r="B202" s="476" t="s">
        <v>301</v>
      </c>
      <c r="C202" s="476" t="s">
        <v>241</v>
      </c>
      <c r="D202" s="106">
        <v>193</v>
      </c>
      <c r="E202" s="106" t="s">
        <v>302</v>
      </c>
      <c r="F202" s="120"/>
      <c r="G202" s="120"/>
      <c r="H202" s="120"/>
      <c r="I202" s="120"/>
      <c r="J202" s="116">
        <f t="shared" si="18"/>
        <v>0</v>
      </c>
      <c r="K202" s="120"/>
      <c r="L202" s="120"/>
      <c r="M202" s="120"/>
      <c r="N202" s="120"/>
      <c r="O202" s="120"/>
      <c r="P202" s="116">
        <f t="shared" si="17"/>
        <v>0</v>
      </c>
      <c r="Q202" s="120"/>
      <c r="R202" s="120"/>
      <c r="S202" s="122"/>
      <c r="T202" s="122">
        <v>250</v>
      </c>
      <c r="U202" s="435" t="s">
        <v>442</v>
      </c>
      <c r="V202" s="121"/>
      <c r="W202" s="117"/>
      <c r="X202" s="117">
        <f t="shared" si="2"/>
        <v>250</v>
      </c>
      <c r="Y202" s="135"/>
    </row>
    <row r="203" spans="1:25" ht="31.5">
      <c r="A203" s="469"/>
      <c r="B203" s="469"/>
      <c r="C203" s="469"/>
      <c r="D203" s="106">
        <v>194</v>
      </c>
      <c r="E203" s="106" t="s">
        <v>242</v>
      </c>
      <c r="F203" s="120"/>
      <c r="G203" s="120"/>
      <c r="H203" s="120"/>
      <c r="I203" s="120"/>
      <c r="J203" s="116">
        <f t="shared" si="18"/>
        <v>0</v>
      </c>
      <c r="K203" s="120"/>
      <c r="L203" s="120"/>
      <c r="M203" s="120"/>
      <c r="N203" s="120"/>
      <c r="O203" s="120"/>
      <c r="P203" s="116">
        <f t="shared" si="17"/>
        <v>0</v>
      </c>
      <c r="Q203" s="120"/>
      <c r="R203" s="120"/>
      <c r="S203" s="120"/>
      <c r="T203" s="120">
        <v>264.89999999999998</v>
      </c>
      <c r="U203" s="106"/>
      <c r="V203" s="120"/>
      <c r="W203" s="117"/>
      <c r="X203" s="117">
        <f t="shared" si="2"/>
        <v>264.89999999999998</v>
      </c>
      <c r="Y203" s="135" t="s">
        <v>1221</v>
      </c>
    </row>
    <row r="204" spans="1:25" ht="47.25">
      <c r="A204" s="469"/>
      <c r="B204" s="476" t="s">
        <v>303</v>
      </c>
      <c r="C204" s="476" t="s">
        <v>304</v>
      </c>
      <c r="D204" s="106">
        <v>195</v>
      </c>
      <c r="E204" s="106" t="s">
        <v>305</v>
      </c>
      <c r="F204" s="120"/>
      <c r="G204" s="120"/>
      <c r="H204" s="120"/>
      <c r="I204" s="120"/>
      <c r="J204" s="116">
        <f t="shared" si="18"/>
        <v>0</v>
      </c>
      <c r="K204" s="120"/>
      <c r="L204" s="120"/>
      <c r="M204" s="120"/>
      <c r="N204" s="120"/>
      <c r="O204" s="120"/>
      <c r="P204" s="116">
        <f t="shared" si="17"/>
        <v>0</v>
      </c>
      <c r="Q204" s="120"/>
      <c r="R204" s="120"/>
      <c r="S204" s="122"/>
      <c r="T204" s="122"/>
      <c r="U204" s="106"/>
      <c r="V204" s="120"/>
      <c r="W204" s="117"/>
      <c r="X204" s="117">
        <f t="shared" si="2"/>
        <v>0</v>
      </c>
      <c r="Y204" s="180"/>
    </row>
    <row r="205" spans="1:25" ht="31.5">
      <c r="A205" s="469"/>
      <c r="B205" s="469"/>
      <c r="C205" s="469"/>
      <c r="D205" s="106">
        <v>196</v>
      </c>
      <c r="E205" s="106" t="s">
        <v>306</v>
      </c>
      <c r="F205" s="120"/>
      <c r="G205" s="120"/>
      <c r="H205" s="120"/>
      <c r="I205" s="120"/>
      <c r="J205" s="116">
        <f t="shared" si="18"/>
        <v>0</v>
      </c>
      <c r="K205" s="120"/>
      <c r="L205" s="120"/>
      <c r="M205" s="120"/>
      <c r="N205" s="120"/>
      <c r="O205" s="120"/>
      <c r="P205" s="116">
        <f t="shared" si="17"/>
        <v>0</v>
      </c>
      <c r="Q205" s="120"/>
      <c r="R205" s="120"/>
      <c r="S205" s="120"/>
      <c r="T205" s="120"/>
      <c r="U205" s="106"/>
      <c r="V205" s="120"/>
      <c r="W205" s="117"/>
      <c r="X205" s="117">
        <f t="shared" si="2"/>
        <v>0</v>
      </c>
      <c r="Y205" s="135"/>
    </row>
    <row r="206" spans="1:25" ht="15.75">
      <c r="A206" s="469"/>
      <c r="B206" s="469"/>
      <c r="C206" s="469"/>
      <c r="D206" s="106">
        <v>197</v>
      </c>
      <c r="E206" s="106" t="s">
        <v>307</v>
      </c>
      <c r="F206" s="135"/>
      <c r="G206" s="135"/>
      <c r="H206" s="135"/>
      <c r="I206" s="135"/>
      <c r="J206" s="116">
        <f t="shared" si="18"/>
        <v>0</v>
      </c>
      <c r="K206" s="135"/>
      <c r="L206" s="135"/>
      <c r="M206" s="135"/>
      <c r="N206" s="135"/>
      <c r="O206" s="135"/>
      <c r="P206" s="116">
        <f t="shared" si="17"/>
        <v>0</v>
      </c>
      <c r="Q206" s="135"/>
      <c r="R206" s="135"/>
      <c r="S206" s="170"/>
      <c r="T206" s="170"/>
      <c r="U206" s="98"/>
      <c r="V206" s="129"/>
      <c r="W206" s="171"/>
      <c r="X206" s="117">
        <f t="shared" si="2"/>
        <v>0</v>
      </c>
      <c r="Y206" s="135"/>
    </row>
    <row r="207" spans="1:25" ht="63">
      <c r="A207" s="469"/>
      <c r="B207" s="106" t="s">
        <v>308</v>
      </c>
      <c r="C207" s="106" t="s">
        <v>246</v>
      </c>
      <c r="D207" s="106">
        <v>198</v>
      </c>
      <c r="E207" s="106" t="s">
        <v>247</v>
      </c>
      <c r="F207" s="120"/>
      <c r="G207" s="120"/>
      <c r="H207" s="120"/>
      <c r="I207" s="120"/>
      <c r="J207" s="116">
        <f t="shared" si="18"/>
        <v>0</v>
      </c>
      <c r="K207" s="120"/>
      <c r="L207" s="120"/>
      <c r="M207" s="120"/>
      <c r="N207" s="120"/>
      <c r="O207" s="120"/>
      <c r="P207" s="116">
        <f t="shared" si="17"/>
        <v>0</v>
      </c>
      <c r="Q207" s="120"/>
      <c r="R207" s="120"/>
      <c r="S207" s="120"/>
      <c r="T207" s="120"/>
      <c r="U207" s="106"/>
      <c r="V207" s="120"/>
      <c r="W207" s="117"/>
      <c r="X207" s="117">
        <f t="shared" si="2"/>
        <v>0</v>
      </c>
      <c r="Y207" s="135"/>
    </row>
    <row r="208" spans="1:25" ht="31.5">
      <c r="A208" s="469"/>
      <c r="B208" s="106" t="s">
        <v>309</v>
      </c>
      <c r="C208" s="106" t="s">
        <v>249</v>
      </c>
      <c r="D208" s="106">
        <v>199</v>
      </c>
      <c r="E208" s="106" t="s">
        <v>250</v>
      </c>
      <c r="F208" s="151"/>
      <c r="G208" s="151"/>
      <c r="H208" s="151"/>
      <c r="I208" s="151"/>
      <c r="J208" s="116">
        <f t="shared" si="18"/>
        <v>0</v>
      </c>
      <c r="K208" s="151"/>
      <c r="L208" s="151"/>
      <c r="M208" s="151"/>
      <c r="N208" s="151"/>
      <c r="O208" s="151"/>
      <c r="P208" s="116">
        <f t="shared" si="17"/>
        <v>0</v>
      </c>
      <c r="Q208" s="151"/>
      <c r="R208" s="151"/>
      <c r="S208" s="151"/>
      <c r="T208" s="151"/>
      <c r="U208" s="98"/>
      <c r="V208" s="151"/>
      <c r="W208" s="117"/>
      <c r="X208" s="117">
        <f t="shared" si="2"/>
        <v>0</v>
      </c>
      <c r="Y208" s="135"/>
    </row>
    <row r="209" spans="1:25" ht="47.25">
      <c r="A209" s="469"/>
      <c r="B209" s="106" t="s">
        <v>310</v>
      </c>
      <c r="C209" s="172" t="s">
        <v>311</v>
      </c>
      <c r="D209" s="106">
        <v>200</v>
      </c>
      <c r="E209" s="106" t="s">
        <v>312</v>
      </c>
      <c r="F209" s="173"/>
      <c r="G209" s="173"/>
      <c r="H209" s="173"/>
      <c r="I209" s="173"/>
      <c r="J209" s="116">
        <f t="shared" si="18"/>
        <v>0</v>
      </c>
      <c r="K209" s="173"/>
      <c r="L209" s="173"/>
      <c r="M209" s="173"/>
      <c r="N209" s="173"/>
      <c r="O209" s="173"/>
      <c r="P209" s="116">
        <f t="shared" si="17"/>
        <v>0</v>
      </c>
      <c r="Q209" s="173"/>
      <c r="R209" s="173"/>
      <c r="S209" s="173"/>
      <c r="T209" s="173"/>
      <c r="U209" s="98"/>
      <c r="V209" s="173"/>
      <c r="W209" s="117"/>
      <c r="X209" s="117">
        <f t="shared" si="2"/>
        <v>0</v>
      </c>
      <c r="Y209" s="180"/>
    </row>
    <row r="210" spans="1:25" ht="50.25" customHeight="1">
      <c r="A210" s="469"/>
      <c r="B210" s="174" t="s">
        <v>313</v>
      </c>
      <c r="C210" s="174" t="s">
        <v>314</v>
      </c>
      <c r="D210" s="175">
        <v>201</v>
      </c>
      <c r="E210" s="176" t="s">
        <v>315</v>
      </c>
      <c r="F210" s="177"/>
      <c r="G210" s="173"/>
      <c r="H210" s="173"/>
      <c r="I210" s="173"/>
      <c r="J210" s="116">
        <f t="shared" si="18"/>
        <v>0</v>
      </c>
      <c r="K210" s="173"/>
      <c r="L210" s="173"/>
      <c r="M210" s="173"/>
      <c r="N210" s="173"/>
      <c r="O210" s="173"/>
      <c r="P210" s="116">
        <f t="shared" si="17"/>
        <v>0</v>
      </c>
      <c r="Q210" s="173"/>
      <c r="R210" s="173"/>
      <c r="S210" s="173"/>
      <c r="T210" s="443">
        <v>216.92099999999999</v>
      </c>
      <c r="U210" s="98"/>
      <c r="V210" s="173"/>
      <c r="W210" s="117"/>
      <c r="X210" s="117">
        <f t="shared" si="2"/>
        <v>216.92099999999999</v>
      </c>
      <c r="Y210" s="135" t="s">
        <v>1162</v>
      </c>
    </row>
    <row r="211" spans="1:25" ht="47.25">
      <c r="A211" s="469"/>
      <c r="B211" s="174" t="s">
        <v>316</v>
      </c>
      <c r="C211" s="174" t="s">
        <v>317</v>
      </c>
      <c r="D211" s="175">
        <v>202</v>
      </c>
      <c r="E211" s="176" t="s">
        <v>318</v>
      </c>
      <c r="F211" s="173"/>
      <c r="G211" s="173"/>
      <c r="H211" s="173"/>
      <c r="I211" s="173"/>
      <c r="J211" s="116">
        <f t="shared" si="18"/>
        <v>0</v>
      </c>
      <c r="K211" s="173"/>
      <c r="L211" s="173"/>
      <c r="M211" s="173"/>
      <c r="N211" s="173"/>
      <c r="O211" s="173"/>
      <c r="P211" s="116">
        <f t="shared" si="17"/>
        <v>0</v>
      </c>
      <c r="Q211" s="173"/>
      <c r="R211" s="173"/>
      <c r="S211" s="173"/>
      <c r="T211" s="173">
        <v>6.3680000002932502E-2</v>
      </c>
      <c r="U211" s="98"/>
      <c r="V211" s="173"/>
      <c r="W211" s="117"/>
      <c r="X211" s="117">
        <f t="shared" si="2"/>
        <v>6.3680000002932502E-2</v>
      </c>
      <c r="Y211" s="135"/>
    </row>
    <row r="212" spans="1:25" ht="78.75">
      <c r="A212" s="469"/>
      <c r="B212" s="174" t="s">
        <v>319</v>
      </c>
      <c r="C212" s="174" t="s">
        <v>320</v>
      </c>
      <c r="D212" s="175">
        <v>203</v>
      </c>
      <c r="E212" s="176" t="s">
        <v>321</v>
      </c>
      <c r="F212" s="173"/>
      <c r="G212" s="173"/>
      <c r="H212" s="173"/>
      <c r="I212" s="173"/>
      <c r="J212" s="116">
        <f t="shared" si="18"/>
        <v>0</v>
      </c>
      <c r="K212" s="173"/>
      <c r="L212" s="173"/>
      <c r="M212" s="173"/>
      <c r="N212" s="173"/>
      <c r="O212" s="173"/>
      <c r="P212" s="116">
        <f t="shared" si="17"/>
        <v>0</v>
      </c>
      <c r="Q212" s="173"/>
      <c r="R212" s="173"/>
      <c r="S212" s="173"/>
      <c r="T212" s="173">
        <v>257.76</v>
      </c>
      <c r="U212" s="98"/>
      <c r="V212" s="173"/>
      <c r="W212" s="117"/>
      <c r="X212" s="117">
        <f t="shared" si="2"/>
        <v>257.76</v>
      </c>
      <c r="Y212" s="135" t="s">
        <v>675</v>
      </c>
    </row>
    <row r="213" spans="1:25" ht="47.25">
      <c r="A213" s="469"/>
      <c r="B213" s="174" t="s">
        <v>322</v>
      </c>
      <c r="C213" s="174" t="s">
        <v>323</v>
      </c>
      <c r="D213" s="175">
        <v>204</v>
      </c>
      <c r="E213" s="176" t="s">
        <v>324</v>
      </c>
      <c r="F213" s="173"/>
      <c r="G213" s="173"/>
      <c r="H213" s="173"/>
      <c r="I213" s="173"/>
      <c r="J213" s="116">
        <f t="shared" si="18"/>
        <v>0</v>
      </c>
      <c r="K213" s="173"/>
      <c r="L213" s="173"/>
      <c r="M213" s="173"/>
      <c r="N213" s="173"/>
      <c r="O213" s="173"/>
      <c r="P213" s="116">
        <f t="shared" si="17"/>
        <v>0</v>
      </c>
      <c r="Q213" s="173"/>
      <c r="R213" s="173"/>
      <c r="S213" s="173"/>
      <c r="T213" s="173">
        <v>455.22</v>
      </c>
      <c r="U213" s="98"/>
      <c r="V213" s="173"/>
      <c r="W213" s="117"/>
      <c r="X213" s="178">
        <f t="shared" si="2"/>
        <v>455.22</v>
      </c>
      <c r="Y213" s="135" t="s">
        <v>325</v>
      </c>
    </row>
    <row r="214" spans="1:25" ht="47.25">
      <c r="A214" s="469"/>
      <c r="B214" s="174" t="s">
        <v>326</v>
      </c>
      <c r="C214" s="174" t="s">
        <v>291</v>
      </c>
      <c r="D214" s="175">
        <v>205</v>
      </c>
      <c r="E214" s="176" t="s">
        <v>327</v>
      </c>
      <c r="F214" s="173"/>
      <c r="G214" s="173"/>
      <c r="H214" s="173"/>
      <c r="I214" s="173"/>
      <c r="J214" s="116">
        <f t="shared" si="18"/>
        <v>0</v>
      </c>
      <c r="K214" s="173"/>
      <c r="L214" s="173"/>
      <c r="M214" s="173"/>
      <c r="N214" s="173"/>
      <c r="O214" s="173"/>
      <c r="P214" s="116">
        <f t="shared" si="17"/>
        <v>0</v>
      </c>
      <c r="Q214" s="173"/>
      <c r="R214" s="173"/>
      <c r="S214" s="173"/>
      <c r="T214" s="139">
        <v>185.70123000000001</v>
      </c>
      <c r="U214" s="98"/>
      <c r="V214" s="173"/>
      <c r="W214" s="117"/>
      <c r="X214" s="117">
        <f t="shared" si="2"/>
        <v>185.70123000000001</v>
      </c>
      <c r="Y214" s="135"/>
    </row>
    <row r="215" spans="1:25" ht="31.5">
      <c r="A215" s="469"/>
      <c r="B215" s="174" t="s">
        <v>329</v>
      </c>
      <c r="C215" s="174" t="s">
        <v>246</v>
      </c>
      <c r="D215" s="175">
        <v>206</v>
      </c>
      <c r="E215" s="176" t="s">
        <v>330</v>
      </c>
      <c r="F215" s="173"/>
      <c r="G215" s="173"/>
      <c r="H215" s="173"/>
      <c r="I215" s="173"/>
      <c r="J215" s="116">
        <f t="shared" si="18"/>
        <v>0</v>
      </c>
      <c r="K215" s="173"/>
      <c r="L215" s="173"/>
      <c r="M215" s="173"/>
      <c r="N215" s="173"/>
      <c r="O215" s="173"/>
      <c r="P215" s="116">
        <f t="shared" si="17"/>
        <v>0</v>
      </c>
      <c r="Q215" s="173"/>
      <c r="R215" s="173"/>
      <c r="S215" s="173"/>
      <c r="T215" s="173"/>
      <c r="U215" s="98"/>
      <c r="V215" s="173"/>
      <c r="W215" s="117"/>
      <c r="X215" s="117">
        <f t="shared" si="2"/>
        <v>0</v>
      </c>
      <c r="Y215" s="135"/>
    </row>
    <row r="216" spans="1:25" s="272" customFormat="1" ht="24.75" customHeight="1">
      <c r="A216" s="469"/>
      <c r="B216" s="478" t="s">
        <v>331</v>
      </c>
      <c r="C216" s="479"/>
      <c r="D216" s="479"/>
      <c r="E216" s="99"/>
      <c r="F216" s="100">
        <f t="shared" ref="F216:W216" si="19">SUM(F159:F215)</f>
        <v>0</v>
      </c>
      <c r="G216" s="101">
        <f t="shared" si="19"/>
        <v>0</v>
      </c>
      <c r="H216" s="101">
        <f t="shared" si="19"/>
        <v>4880</v>
      </c>
      <c r="I216" s="101">
        <f t="shared" si="19"/>
        <v>20</v>
      </c>
      <c r="J216" s="101">
        <f t="shared" si="19"/>
        <v>4900</v>
      </c>
      <c r="K216" s="100">
        <f t="shared" si="19"/>
        <v>0</v>
      </c>
      <c r="L216" s="100">
        <f t="shared" si="19"/>
        <v>931.69236899999999</v>
      </c>
      <c r="M216" s="100">
        <f t="shared" si="19"/>
        <v>0</v>
      </c>
      <c r="N216" s="100">
        <f t="shared" si="19"/>
        <v>0</v>
      </c>
      <c r="O216" s="100">
        <f t="shared" si="19"/>
        <v>6449.1554699999997</v>
      </c>
      <c r="P216" s="100">
        <f t="shared" si="19"/>
        <v>12067.965469999999</v>
      </c>
      <c r="Q216" s="100">
        <f t="shared" si="19"/>
        <v>0</v>
      </c>
      <c r="R216" s="100">
        <f t="shared" si="19"/>
        <v>325.95999999999998</v>
      </c>
      <c r="S216" s="101">
        <f t="shared" si="19"/>
        <v>0</v>
      </c>
      <c r="T216" s="444">
        <f t="shared" si="19"/>
        <v>18545.853974999998</v>
      </c>
      <c r="U216" s="100">
        <f t="shared" si="19"/>
        <v>0</v>
      </c>
      <c r="V216" s="100">
        <f t="shared" si="19"/>
        <v>0</v>
      </c>
      <c r="W216" s="102">
        <f t="shared" si="19"/>
        <v>0</v>
      </c>
      <c r="X216" s="102">
        <f t="shared" si="2"/>
        <v>36771.471813999997</v>
      </c>
      <c r="Y216" s="448"/>
    </row>
    <row r="217" spans="1:25" ht="37.5" customHeight="1">
      <c r="A217" s="480" t="s">
        <v>332</v>
      </c>
      <c r="B217" s="469"/>
      <c r="C217" s="469"/>
      <c r="D217" s="469"/>
      <c r="E217" s="103"/>
      <c r="F217" s="104">
        <f t="shared" ref="F217:W217" si="20">F216+F158+F134+F93+F68</f>
        <v>48.3</v>
      </c>
      <c r="G217" s="105">
        <f t="shared" si="20"/>
        <v>0</v>
      </c>
      <c r="H217" s="105">
        <f t="shared" si="20"/>
        <v>5490</v>
      </c>
      <c r="I217" s="105">
        <f t="shared" si="20"/>
        <v>55.9</v>
      </c>
      <c r="J217" s="105">
        <f t="shared" si="20"/>
        <v>5545.9</v>
      </c>
      <c r="K217" s="104">
        <f t="shared" si="20"/>
        <v>0</v>
      </c>
      <c r="L217" s="104">
        <f t="shared" si="20"/>
        <v>6029.3316262000008</v>
      </c>
      <c r="M217" s="104">
        <f t="shared" si="20"/>
        <v>0</v>
      </c>
      <c r="N217" s="104">
        <f t="shared" si="20"/>
        <v>0</v>
      </c>
      <c r="O217" s="104">
        <f t="shared" si="20"/>
        <v>12312.508914000002</v>
      </c>
      <c r="P217" s="104">
        <f t="shared" si="20"/>
        <v>17931.318913999999</v>
      </c>
      <c r="Q217" s="104">
        <f t="shared" si="20"/>
        <v>0</v>
      </c>
      <c r="R217" s="104">
        <f t="shared" si="20"/>
        <v>2407.69</v>
      </c>
      <c r="S217" s="105">
        <f t="shared" si="20"/>
        <v>0</v>
      </c>
      <c r="T217" s="436">
        <f t="shared" si="20"/>
        <v>19981.908855000001</v>
      </c>
      <c r="U217" s="104">
        <f t="shared" si="20"/>
        <v>0</v>
      </c>
      <c r="V217" s="104">
        <f t="shared" si="20"/>
        <v>81.52000000000001</v>
      </c>
      <c r="W217" s="104">
        <f t="shared" si="20"/>
        <v>0</v>
      </c>
      <c r="X217" s="104">
        <f t="shared" si="2"/>
        <v>52025.969395200002</v>
      </c>
      <c r="Y217" s="449"/>
    </row>
    <row r="218" spans="1:25" ht="24.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368"/>
    </row>
    <row r="219" spans="1:25" ht="24.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368"/>
    </row>
    <row r="220" spans="1:25" ht="24.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368"/>
    </row>
    <row r="221" spans="1:25" ht="24.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368"/>
    </row>
    <row r="222" spans="1:25" ht="24.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368"/>
    </row>
    <row r="223" spans="1:25" ht="24.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368"/>
    </row>
    <row r="224" spans="1:25" ht="24.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368"/>
    </row>
    <row r="225" spans="1:25" ht="24.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368"/>
    </row>
    <row r="226" spans="1:25" ht="24.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368"/>
    </row>
    <row r="227" spans="1:25" ht="24.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368"/>
    </row>
    <row r="228" spans="1:25" ht="24.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368"/>
    </row>
    <row r="229" spans="1:25" ht="24.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368"/>
    </row>
    <row r="230" spans="1:25" ht="24.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368"/>
    </row>
    <row r="231" spans="1:25" ht="24.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368"/>
    </row>
    <row r="232" spans="1:25" ht="24.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368"/>
    </row>
    <row r="233" spans="1:25" ht="24.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368"/>
    </row>
    <row r="234" spans="1:25" ht="24.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368"/>
    </row>
    <row r="235" spans="1:25" ht="24.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368"/>
    </row>
    <row r="236" spans="1:25" ht="24.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368"/>
    </row>
    <row r="237" spans="1:25" ht="24.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368"/>
    </row>
    <row r="238" spans="1:25" ht="24.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368"/>
    </row>
    <row r="239" spans="1:25" ht="24.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368"/>
    </row>
    <row r="240" spans="1:25" ht="24.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368"/>
    </row>
    <row r="241" spans="1:25" ht="24.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368"/>
    </row>
    <row r="242" spans="1:25" ht="24.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368"/>
    </row>
    <row r="243" spans="1:25" ht="24.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368"/>
    </row>
    <row r="244" spans="1:25" ht="24.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368"/>
    </row>
    <row r="245" spans="1:25" ht="24.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368"/>
    </row>
    <row r="246" spans="1:25" ht="24.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368"/>
    </row>
    <row r="247" spans="1:25" ht="24.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368"/>
    </row>
    <row r="248" spans="1:25" ht="24.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368"/>
    </row>
    <row r="249" spans="1:25" ht="24.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368"/>
    </row>
    <row r="250" spans="1:25" ht="24.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368"/>
    </row>
    <row r="251" spans="1:25" ht="24.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368"/>
    </row>
    <row r="252" spans="1:25" ht="24.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368"/>
    </row>
    <row r="253" spans="1:25" ht="24.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368"/>
    </row>
    <row r="254" spans="1:25" ht="24.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368"/>
    </row>
    <row r="255" spans="1:25" ht="24.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368"/>
    </row>
    <row r="256" spans="1:25" ht="24.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368"/>
    </row>
    <row r="257" spans="1:25" ht="24.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368"/>
    </row>
    <row r="258" spans="1:25" ht="24.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368"/>
    </row>
    <row r="259" spans="1:25" ht="24.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368"/>
    </row>
    <row r="260" spans="1:25" ht="24.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368"/>
    </row>
    <row r="261" spans="1:25" ht="24.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368"/>
    </row>
    <row r="262" spans="1:25" ht="24.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368"/>
    </row>
    <row r="263" spans="1:25" ht="24.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368"/>
    </row>
    <row r="264" spans="1:25" ht="24.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368"/>
    </row>
    <row r="265" spans="1:25" ht="24.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368"/>
    </row>
    <row r="266" spans="1:25" ht="24.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368"/>
    </row>
    <row r="267" spans="1:25" ht="24.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368"/>
    </row>
    <row r="268" spans="1:25" ht="24.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368"/>
    </row>
    <row r="269" spans="1:25" ht="24.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368"/>
    </row>
    <row r="270" spans="1:25" ht="24.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368"/>
    </row>
    <row r="271" spans="1:25" ht="24.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368"/>
    </row>
    <row r="272" spans="1:25" ht="24.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368"/>
    </row>
    <row r="273" spans="1:25" ht="24.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368"/>
    </row>
    <row r="274" spans="1:25" ht="24.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368"/>
    </row>
    <row r="275" spans="1:25" ht="24.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368"/>
    </row>
    <row r="276" spans="1:25" ht="24.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368"/>
    </row>
    <row r="277" spans="1:25" ht="24.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368"/>
    </row>
    <row r="278" spans="1:25" ht="24.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368"/>
    </row>
    <row r="279" spans="1:25" ht="24.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368"/>
    </row>
    <row r="280" spans="1:25" ht="24.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368"/>
    </row>
    <row r="281" spans="1:25" ht="24.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368"/>
    </row>
    <row r="282" spans="1:25" ht="24.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368"/>
    </row>
    <row r="283" spans="1:25" ht="24.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368"/>
    </row>
    <row r="284" spans="1:25" ht="24.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368"/>
    </row>
    <row r="285" spans="1:25" ht="24.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368"/>
    </row>
    <row r="286" spans="1:25" ht="24.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368"/>
    </row>
    <row r="287" spans="1:25" ht="24.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368"/>
    </row>
    <row r="288" spans="1:25" ht="24.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368"/>
    </row>
    <row r="289" spans="1:25" ht="24.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368"/>
    </row>
    <row r="290" spans="1:25" ht="24.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368"/>
    </row>
    <row r="291" spans="1:25" ht="24.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368"/>
    </row>
    <row r="292" spans="1:25" ht="24.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368"/>
    </row>
    <row r="293" spans="1:25" ht="24.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368"/>
    </row>
    <row r="294" spans="1:25" ht="24.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368"/>
    </row>
    <row r="295" spans="1:25" ht="24.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368"/>
    </row>
    <row r="296" spans="1:25" ht="24.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368"/>
    </row>
    <row r="297" spans="1:25" ht="24.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368"/>
    </row>
    <row r="298" spans="1:25" ht="24.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368"/>
    </row>
    <row r="299" spans="1:25" ht="24.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368"/>
    </row>
    <row r="300" spans="1:25" ht="24.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368"/>
    </row>
    <row r="301" spans="1:25" ht="24.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368"/>
    </row>
    <row r="302" spans="1:25" ht="24.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368"/>
    </row>
    <row r="303" spans="1:25" ht="24.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368"/>
    </row>
    <row r="304" spans="1:25" ht="24.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368"/>
    </row>
    <row r="305" spans="1:25" ht="24.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368"/>
    </row>
    <row r="306" spans="1:25" ht="24.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368"/>
    </row>
    <row r="307" spans="1:25" ht="24.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368"/>
    </row>
    <row r="308" spans="1:25" ht="24.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368"/>
    </row>
    <row r="309" spans="1:25" ht="24.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368"/>
    </row>
    <row r="310" spans="1:25" ht="24.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368"/>
    </row>
    <row r="311" spans="1:25" ht="24.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368"/>
    </row>
    <row r="312" spans="1:25" ht="24.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368"/>
    </row>
    <row r="313" spans="1:25" ht="24.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368"/>
    </row>
    <row r="314" spans="1:25" ht="24.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368"/>
    </row>
    <row r="315" spans="1:25" ht="24.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368"/>
    </row>
    <row r="316" spans="1:25" ht="24.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368"/>
    </row>
    <row r="317" spans="1:25" ht="24.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368"/>
    </row>
    <row r="318" spans="1:25" ht="24.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368"/>
    </row>
    <row r="319" spans="1:25" ht="24.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368"/>
    </row>
    <row r="320" spans="1:25" ht="24.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368"/>
    </row>
    <row r="321" spans="1:25" ht="24.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368"/>
    </row>
    <row r="322" spans="1:25" ht="24.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368"/>
    </row>
    <row r="323" spans="1:25" ht="24.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368"/>
    </row>
    <row r="324" spans="1:25" ht="24.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368"/>
    </row>
    <row r="325" spans="1:25" ht="24.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368"/>
    </row>
    <row r="326" spans="1:25" ht="24.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368"/>
    </row>
    <row r="327" spans="1:25" ht="24.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368"/>
    </row>
    <row r="328" spans="1:25" ht="24.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368"/>
    </row>
    <row r="329" spans="1:25" ht="24.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368"/>
    </row>
    <row r="330" spans="1:25" ht="24.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368"/>
    </row>
    <row r="331" spans="1:25" ht="24.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368"/>
    </row>
    <row r="332" spans="1:25" ht="24.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368"/>
    </row>
    <row r="333" spans="1:25" ht="24.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368"/>
    </row>
    <row r="334" spans="1:25" ht="24.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368"/>
    </row>
    <row r="335" spans="1:25" ht="24.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368"/>
    </row>
    <row r="336" spans="1:25" ht="24.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368"/>
    </row>
    <row r="337" spans="1:25" ht="24.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368"/>
    </row>
    <row r="338" spans="1:25" ht="24.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368"/>
    </row>
    <row r="339" spans="1:25" ht="24.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368"/>
    </row>
    <row r="340" spans="1:25" ht="24.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368"/>
    </row>
    <row r="341" spans="1:25" ht="24.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368"/>
    </row>
    <row r="342" spans="1:25" ht="24.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368"/>
    </row>
    <row r="343" spans="1:25" ht="24.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368"/>
    </row>
    <row r="344" spans="1:25" ht="24.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368"/>
    </row>
    <row r="345" spans="1:25" ht="24.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368"/>
    </row>
    <row r="346" spans="1:25" ht="24.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368"/>
    </row>
    <row r="347" spans="1:25" ht="24.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368"/>
    </row>
    <row r="348" spans="1:25" ht="24.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368"/>
    </row>
    <row r="349" spans="1:25" ht="24.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368"/>
    </row>
    <row r="350" spans="1:25" ht="24.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368"/>
    </row>
    <row r="351" spans="1:25" ht="24.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368"/>
    </row>
    <row r="352" spans="1:25" ht="24.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368"/>
    </row>
    <row r="353" spans="1:25" ht="24.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368"/>
    </row>
    <row r="354" spans="1:25" ht="24.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368"/>
    </row>
    <row r="355" spans="1:25" ht="24.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368"/>
    </row>
    <row r="356" spans="1:25" ht="24.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368"/>
    </row>
    <row r="357" spans="1:25" ht="24.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368"/>
    </row>
    <row r="358" spans="1:25" ht="24.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368"/>
    </row>
    <row r="359" spans="1:25" ht="24.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368"/>
    </row>
    <row r="360" spans="1:25" ht="24.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368"/>
    </row>
    <row r="361" spans="1:25" ht="24.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368"/>
    </row>
    <row r="362" spans="1:25" ht="24.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368"/>
    </row>
    <row r="363" spans="1:25" ht="24.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368"/>
    </row>
    <row r="364" spans="1:25" ht="24.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368"/>
    </row>
    <row r="365" spans="1:25" ht="24.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368"/>
    </row>
    <row r="366" spans="1:25" ht="24.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368"/>
    </row>
    <row r="367" spans="1:25" ht="24.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368"/>
    </row>
    <row r="368" spans="1:25" ht="24.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368"/>
    </row>
    <row r="369" spans="1:25" ht="24.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368"/>
    </row>
    <row r="370" spans="1:25" ht="24.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368"/>
    </row>
    <row r="371" spans="1:25" ht="24.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368"/>
    </row>
    <row r="372" spans="1:25" ht="24.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368"/>
    </row>
    <row r="373" spans="1:25" ht="24.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368"/>
    </row>
    <row r="374" spans="1:25" ht="24.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368"/>
    </row>
    <row r="375" spans="1:25" ht="24.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368"/>
    </row>
    <row r="376" spans="1:25" ht="24.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368"/>
    </row>
    <row r="377" spans="1:25" ht="24.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368"/>
    </row>
    <row r="378" spans="1:25" ht="24.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368"/>
    </row>
    <row r="379" spans="1:25" ht="24.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368"/>
    </row>
    <row r="380" spans="1:25" ht="24.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368"/>
    </row>
    <row r="381" spans="1:25" ht="24.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368"/>
    </row>
    <row r="382" spans="1:25" ht="24.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368"/>
    </row>
    <row r="383" spans="1:25" ht="24.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368"/>
    </row>
    <row r="384" spans="1:25" ht="15.75" customHeight="1">
      <c r="A384" s="16"/>
      <c r="B384" s="16"/>
      <c r="C384" s="16"/>
      <c r="D384" s="16"/>
      <c r="E384" s="16"/>
      <c r="F384" s="16"/>
      <c r="G384" s="16"/>
      <c r="H384" s="16"/>
      <c r="I384" s="16"/>
      <c r="J384" s="16"/>
      <c r="K384" s="16"/>
      <c r="L384" s="16"/>
      <c r="M384" s="16"/>
      <c r="N384" s="16"/>
      <c r="O384" s="16"/>
      <c r="P384" s="16"/>
      <c r="Q384" s="16"/>
      <c r="R384" s="16"/>
      <c r="S384" s="16"/>
      <c r="T384" s="16"/>
      <c r="U384" s="13"/>
      <c r="V384" s="16"/>
      <c r="W384" s="16"/>
      <c r="X384" s="16"/>
      <c r="Y384" s="8"/>
    </row>
    <row r="385" spans="1:25" ht="15.75" customHeight="1">
      <c r="A385" s="16"/>
      <c r="B385" s="16"/>
      <c r="C385" s="16"/>
      <c r="D385" s="16"/>
      <c r="E385" s="16"/>
      <c r="F385" s="16"/>
      <c r="G385" s="16"/>
      <c r="H385" s="16"/>
      <c r="I385" s="16"/>
      <c r="J385" s="16"/>
      <c r="K385" s="16"/>
      <c r="L385" s="16"/>
      <c r="M385" s="16"/>
      <c r="N385" s="16"/>
      <c r="O385" s="16"/>
      <c r="P385" s="16"/>
      <c r="Q385" s="16"/>
      <c r="R385" s="16"/>
      <c r="S385" s="16"/>
      <c r="T385" s="16"/>
      <c r="U385" s="13"/>
      <c r="V385" s="16"/>
      <c r="W385" s="16"/>
      <c r="X385" s="16"/>
      <c r="Y385" s="8"/>
    </row>
    <row r="386" spans="1:25" ht="15.75" customHeight="1">
      <c r="A386" s="16"/>
      <c r="B386" s="16"/>
      <c r="C386" s="16"/>
      <c r="D386" s="16"/>
      <c r="E386" s="16"/>
      <c r="F386" s="16"/>
      <c r="G386" s="16"/>
      <c r="H386" s="16"/>
      <c r="I386" s="16"/>
      <c r="J386" s="16"/>
      <c r="K386" s="16"/>
      <c r="L386" s="16"/>
      <c r="M386" s="16"/>
      <c r="N386" s="16"/>
      <c r="O386" s="16"/>
      <c r="P386" s="16"/>
      <c r="Q386" s="16"/>
      <c r="R386" s="16"/>
      <c r="S386" s="16"/>
      <c r="T386" s="16"/>
      <c r="U386" s="13"/>
      <c r="V386" s="16"/>
      <c r="W386" s="16"/>
      <c r="X386" s="16"/>
      <c r="Y386" s="8"/>
    </row>
    <row r="387" spans="1:25" ht="15.75" customHeight="1">
      <c r="A387" s="16"/>
      <c r="B387" s="16"/>
      <c r="C387" s="16"/>
      <c r="D387" s="16"/>
      <c r="E387" s="16"/>
      <c r="F387" s="16"/>
      <c r="G387" s="16"/>
      <c r="H387" s="16"/>
      <c r="I387" s="16"/>
      <c r="J387" s="16"/>
      <c r="K387" s="16"/>
      <c r="L387" s="16"/>
      <c r="M387" s="16"/>
      <c r="N387" s="16"/>
      <c r="O387" s="16"/>
      <c r="P387" s="16"/>
      <c r="Q387" s="16"/>
      <c r="R387" s="16"/>
      <c r="S387" s="16"/>
      <c r="T387" s="16"/>
      <c r="U387" s="13"/>
      <c r="V387" s="16"/>
      <c r="W387" s="16"/>
      <c r="X387" s="16"/>
      <c r="Y387" s="8"/>
    </row>
    <row r="388" spans="1:25" ht="15.75" customHeight="1">
      <c r="A388" s="16"/>
      <c r="B388" s="16"/>
      <c r="C388" s="16"/>
      <c r="D388" s="16"/>
      <c r="E388" s="16"/>
      <c r="F388" s="16"/>
      <c r="G388" s="16"/>
      <c r="H388" s="16"/>
      <c r="I388" s="16"/>
      <c r="J388" s="16"/>
      <c r="K388" s="16"/>
      <c r="L388" s="16"/>
      <c r="M388" s="16"/>
      <c r="N388" s="16"/>
      <c r="O388" s="16"/>
      <c r="P388" s="16"/>
      <c r="Q388" s="16"/>
      <c r="R388" s="16"/>
      <c r="S388" s="16"/>
      <c r="T388" s="16"/>
      <c r="U388" s="13"/>
      <c r="V388" s="16"/>
      <c r="W388" s="16"/>
      <c r="X388" s="16"/>
      <c r="Y388" s="8"/>
    </row>
    <row r="389" spans="1:25" ht="15.75" customHeight="1">
      <c r="A389" s="16"/>
      <c r="B389" s="16"/>
      <c r="C389" s="16"/>
      <c r="D389" s="16"/>
      <c r="E389" s="16"/>
      <c r="F389" s="16"/>
      <c r="G389" s="16"/>
      <c r="H389" s="16"/>
      <c r="I389" s="16"/>
      <c r="J389" s="16"/>
      <c r="K389" s="16"/>
      <c r="L389" s="16"/>
      <c r="M389" s="16"/>
      <c r="N389" s="16"/>
      <c r="O389" s="16"/>
      <c r="P389" s="16"/>
      <c r="Q389" s="16"/>
      <c r="R389" s="16"/>
      <c r="S389" s="16"/>
      <c r="T389" s="16"/>
      <c r="U389" s="13"/>
      <c r="V389" s="16"/>
      <c r="W389" s="16"/>
      <c r="X389" s="16"/>
      <c r="Y389" s="8"/>
    </row>
    <row r="390" spans="1:25" ht="15.75" customHeight="1">
      <c r="A390" s="16"/>
      <c r="B390" s="16"/>
      <c r="C390" s="16"/>
      <c r="D390" s="16"/>
      <c r="E390" s="16"/>
      <c r="F390" s="16"/>
      <c r="G390" s="16"/>
      <c r="H390" s="16"/>
      <c r="I390" s="16"/>
      <c r="J390" s="16"/>
      <c r="K390" s="16"/>
      <c r="L390" s="16"/>
      <c r="M390" s="16"/>
      <c r="N390" s="16"/>
      <c r="O390" s="16"/>
      <c r="P390" s="16"/>
      <c r="Q390" s="16"/>
      <c r="R390" s="16"/>
      <c r="S390" s="16"/>
      <c r="T390" s="16"/>
      <c r="U390" s="13"/>
      <c r="V390" s="16"/>
      <c r="W390" s="16"/>
      <c r="X390" s="16"/>
      <c r="Y390" s="8"/>
    </row>
    <row r="391" spans="1:25" ht="15.75" customHeight="1">
      <c r="A391" s="16"/>
      <c r="B391" s="16"/>
      <c r="C391" s="16"/>
      <c r="D391" s="16"/>
      <c r="E391" s="16"/>
      <c r="F391" s="16"/>
      <c r="G391" s="16"/>
      <c r="H391" s="16"/>
      <c r="I391" s="16"/>
      <c r="J391" s="16"/>
      <c r="K391" s="16"/>
      <c r="L391" s="16"/>
      <c r="M391" s="16"/>
      <c r="N391" s="16"/>
      <c r="O391" s="16"/>
      <c r="P391" s="16"/>
      <c r="Q391" s="16"/>
      <c r="R391" s="16"/>
      <c r="S391" s="16"/>
      <c r="T391" s="16"/>
      <c r="U391" s="13"/>
      <c r="V391" s="16"/>
      <c r="W391" s="16"/>
      <c r="X391" s="16"/>
      <c r="Y391" s="8"/>
    </row>
    <row r="392" spans="1:25" ht="15.75" customHeight="1">
      <c r="A392" s="16"/>
      <c r="B392" s="16"/>
      <c r="C392" s="16"/>
      <c r="D392" s="16"/>
      <c r="E392" s="16"/>
      <c r="F392" s="16"/>
      <c r="G392" s="16"/>
      <c r="H392" s="16"/>
      <c r="I392" s="16"/>
      <c r="J392" s="16"/>
      <c r="K392" s="16"/>
      <c r="L392" s="16"/>
      <c r="M392" s="16"/>
      <c r="N392" s="16"/>
      <c r="O392" s="16"/>
      <c r="P392" s="16"/>
      <c r="Q392" s="16"/>
      <c r="R392" s="16"/>
      <c r="S392" s="16"/>
      <c r="T392" s="16"/>
      <c r="U392" s="13"/>
      <c r="V392" s="16"/>
      <c r="W392" s="16"/>
      <c r="X392" s="16"/>
      <c r="Y392" s="8"/>
    </row>
    <row r="393" spans="1:25" ht="15.75" customHeight="1">
      <c r="A393" s="16"/>
      <c r="B393" s="16"/>
      <c r="C393" s="16"/>
      <c r="D393" s="16"/>
      <c r="E393" s="16"/>
      <c r="F393" s="16"/>
      <c r="G393" s="16"/>
      <c r="H393" s="16"/>
      <c r="I393" s="16"/>
      <c r="J393" s="16"/>
      <c r="K393" s="16"/>
      <c r="L393" s="16"/>
      <c r="M393" s="16"/>
      <c r="N393" s="16"/>
      <c r="O393" s="16"/>
      <c r="P393" s="16"/>
      <c r="Q393" s="16"/>
      <c r="R393" s="16"/>
      <c r="S393" s="16"/>
      <c r="T393" s="16"/>
      <c r="U393" s="13"/>
      <c r="V393" s="16"/>
      <c r="W393" s="16"/>
      <c r="X393" s="16"/>
      <c r="Y393" s="8"/>
    </row>
    <row r="394" spans="1:25" ht="15.75" customHeight="1">
      <c r="A394" s="16"/>
      <c r="B394" s="16"/>
      <c r="C394" s="16"/>
      <c r="D394" s="16"/>
      <c r="E394" s="16"/>
      <c r="F394" s="16"/>
      <c r="G394" s="16"/>
      <c r="H394" s="16"/>
      <c r="I394" s="16"/>
      <c r="J394" s="16"/>
      <c r="K394" s="16"/>
      <c r="L394" s="16"/>
      <c r="M394" s="16"/>
      <c r="N394" s="16"/>
      <c r="O394" s="16"/>
      <c r="P394" s="16"/>
      <c r="Q394" s="16"/>
      <c r="R394" s="16"/>
      <c r="S394" s="16"/>
      <c r="T394" s="16"/>
      <c r="U394" s="13"/>
      <c r="V394" s="16"/>
      <c r="W394" s="16"/>
      <c r="X394" s="16"/>
      <c r="Y394" s="8"/>
    </row>
    <row r="395" spans="1:25" ht="15.75" customHeight="1">
      <c r="A395" s="16"/>
      <c r="B395" s="16"/>
      <c r="C395" s="16"/>
      <c r="D395" s="16"/>
      <c r="E395" s="16"/>
      <c r="F395" s="16"/>
      <c r="G395" s="16"/>
      <c r="H395" s="16"/>
      <c r="I395" s="16"/>
      <c r="J395" s="16"/>
      <c r="K395" s="16"/>
      <c r="L395" s="16"/>
      <c r="M395" s="16"/>
      <c r="N395" s="16"/>
      <c r="O395" s="16"/>
      <c r="P395" s="16"/>
      <c r="Q395" s="16"/>
      <c r="R395" s="16"/>
      <c r="S395" s="16"/>
      <c r="T395" s="16"/>
      <c r="U395" s="13"/>
      <c r="V395" s="16"/>
      <c r="W395" s="16"/>
      <c r="X395" s="16"/>
      <c r="Y395" s="8"/>
    </row>
    <row r="396" spans="1:25" ht="15.75" customHeight="1">
      <c r="A396" s="16"/>
      <c r="B396" s="16"/>
      <c r="C396" s="16"/>
      <c r="D396" s="16"/>
      <c r="E396" s="16"/>
      <c r="F396" s="16"/>
      <c r="G396" s="16"/>
      <c r="H396" s="16"/>
      <c r="I396" s="16"/>
      <c r="J396" s="16"/>
      <c r="K396" s="16"/>
      <c r="L396" s="16"/>
      <c r="M396" s="16"/>
      <c r="N396" s="16"/>
      <c r="O396" s="16"/>
      <c r="P396" s="16"/>
      <c r="Q396" s="16"/>
      <c r="R396" s="16"/>
      <c r="S396" s="16"/>
      <c r="T396" s="16"/>
      <c r="U396" s="13"/>
      <c r="V396" s="16"/>
      <c r="W396" s="16"/>
      <c r="X396" s="16"/>
      <c r="Y396" s="8"/>
    </row>
    <row r="397" spans="1:25" ht="15.75" customHeight="1">
      <c r="A397" s="16"/>
      <c r="B397" s="16"/>
      <c r="C397" s="16"/>
      <c r="D397" s="16"/>
      <c r="E397" s="16"/>
      <c r="F397" s="16"/>
      <c r="G397" s="16"/>
      <c r="H397" s="16"/>
      <c r="I397" s="16"/>
      <c r="J397" s="16"/>
      <c r="K397" s="16"/>
      <c r="L397" s="16"/>
      <c r="M397" s="16"/>
      <c r="N397" s="16"/>
      <c r="O397" s="16"/>
      <c r="P397" s="16"/>
      <c r="Q397" s="16"/>
      <c r="R397" s="16"/>
      <c r="S397" s="16"/>
      <c r="T397" s="16"/>
      <c r="U397" s="13"/>
      <c r="V397" s="16"/>
      <c r="W397" s="16"/>
      <c r="X397" s="16"/>
      <c r="Y397" s="8"/>
    </row>
    <row r="398" spans="1:25" ht="15.75" customHeight="1">
      <c r="A398" s="16"/>
      <c r="B398" s="16"/>
      <c r="C398" s="16"/>
      <c r="D398" s="16"/>
      <c r="E398" s="16"/>
      <c r="F398" s="16"/>
      <c r="G398" s="16"/>
      <c r="H398" s="16"/>
      <c r="I398" s="16"/>
      <c r="J398" s="16"/>
      <c r="K398" s="16"/>
      <c r="L398" s="16"/>
      <c r="M398" s="16"/>
      <c r="N398" s="16"/>
      <c r="O398" s="16"/>
      <c r="P398" s="16"/>
      <c r="Q398" s="16"/>
      <c r="R398" s="16"/>
      <c r="S398" s="16"/>
      <c r="T398" s="16"/>
      <c r="U398" s="13"/>
      <c r="V398" s="16"/>
      <c r="W398" s="16"/>
      <c r="X398" s="16"/>
      <c r="Y398" s="8"/>
    </row>
    <row r="399" spans="1:25" ht="15.75" customHeight="1">
      <c r="A399" s="16"/>
      <c r="B399" s="16"/>
      <c r="C399" s="16"/>
      <c r="D399" s="16"/>
      <c r="E399" s="16"/>
      <c r="F399" s="16"/>
      <c r="G399" s="16"/>
      <c r="H399" s="16"/>
      <c r="I399" s="16"/>
      <c r="J399" s="16"/>
      <c r="K399" s="16"/>
      <c r="L399" s="16"/>
      <c r="M399" s="16"/>
      <c r="N399" s="16"/>
      <c r="O399" s="16"/>
      <c r="P399" s="16"/>
      <c r="Q399" s="16"/>
      <c r="R399" s="16"/>
      <c r="S399" s="16"/>
      <c r="T399" s="16"/>
      <c r="U399" s="13"/>
      <c r="V399" s="16"/>
      <c r="W399" s="16"/>
      <c r="X399" s="16"/>
      <c r="Y399" s="8"/>
    </row>
    <row r="400" spans="1:25" ht="15.75" customHeight="1">
      <c r="A400" s="16"/>
      <c r="B400" s="16"/>
      <c r="C400" s="16"/>
      <c r="D400" s="16"/>
      <c r="E400" s="16"/>
      <c r="F400" s="16"/>
      <c r="G400" s="16"/>
      <c r="H400" s="16"/>
      <c r="I400" s="16"/>
      <c r="J400" s="16"/>
      <c r="K400" s="16"/>
      <c r="L400" s="16"/>
      <c r="M400" s="16"/>
      <c r="N400" s="16"/>
      <c r="O400" s="16"/>
      <c r="P400" s="16"/>
      <c r="Q400" s="16"/>
      <c r="R400" s="16"/>
      <c r="S400" s="16"/>
      <c r="T400" s="16"/>
      <c r="U400" s="13"/>
      <c r="V400" s="16"/>
      <c r="W400" s="16"/>
      <c r="X400" s="16"/>
      <c r="Y400" s="8"/>
    </row>
    <row r="401" spans="1:25" ht="15.75" customHeight="1">
      <c r="A401" s="16"/>
      <c r="B401" s="16"/>
      <c r="C401" s="16"/>
      <c r="D401" s="16"/>
      <c r="E401" s="16"/>
      <c r="F401" s="16"/>
      <c r="G401" s="16"/>
      <c r="H401" s="16"/>
      <c r="I401" s="16"/>
      <c r="J401" s="16"/>
      <c r="K401" s="16"/>
      <c r="L401" s="16"/>
      <c r="M401" s="16"/>
      <c r="N401" s="16"/>
      <c r="O401" s="16"/>
      <c r="P401" s="16"/>
      <c r="Q401" s="16"/>
      <c r="R401" s="16"/>
      <c r="S401" s="16"/>
      <c r="T401" s="16"/>
      <c r="U401" s="13"/>
      <c r="V401" s="16"/>
      <c r="W401" s="16"/>
      <c r="X401" s="16"/>
      <c r="Y401" s="8"/>
    </row>
    <row r="402" spans="1:25" ht="15.75" customHeight="1">
      <c r="A402" s="16"/>
      <c r="B402" s="16"/>
      <c r="C402" s="16"/>
      <c r="D402" s="16"/>
      <c r="E402" s="16"/>
      <c r="F402" s="16"/>
      <c r="G402" s="16"/>
      <c r="H402" s="16"/>
      <c r="I402" s="16"/>
      <c r="J402" s="16"/>
      <c r="K402" s="16"/>
      <c r="L402" s="16"/>
      <c r="M402" s="16"/>
      <c r="N402" s="16"/>
      <c r="O402" s="16"/>
      <c r="P402" s="16"/>
      <c r="Q402" s="16"/>
      <c r="R402" s="16"/>
      <c r="S402" s="16"/>
      <c r="T402" s="16"/>
      <c r="U402" s="13"/>
      <c r="V402" s="16"/>
      <c r="W402" s="16"/>
      <c r="X402" s="16"/>
      <c r="Y402" s="8"/>
    </row>
    <row r="403" spans="1:25" ht="15.75" customHeight="1">
      <c r="A403" s="16"/>
      <c r="B403" s="16"/>
      <c r="C403" s="16"/>
      <c r="D403" s="16"/>
      <c r="E403" s="16"/>
      <c r="F403" s="16"/>
      <c r="G403" s="16"/>
      <c r="H403" s="16"/>
      <c r="I403" s="16"/>
      <c r="J403" s="16"/>
      <c r="K403" s="16"/>
      <c r="L403" s="16"/>
      <c r="M403" s="16"/>
      <c r="N403" s="16"/>
      <c r="O403" s="16"/>
      <c r="P403" s="16"/>
      <c r="Q403" s="16"/>
      <c r="R403" s="16"/>
      <c r="S403" s="16"/>
      <c r="T403" s="16"/>
      <c r="U403" s="13"/>
      <c r="V403" s="16"/>
      <c r="W403" s="16"/>
      <c r="X403" s="16"/>
      <c r="Y403" s="8"/>
    </row>
    <row r="404" spans="1:25" ht="15.75" customHeight="1">
      <c r="A404" s="16"/>
      <c r="B404" s="16"/>
      <c r="C404" s="16"/>
      <c r="D404" s="16"/>
      <c r="E404" s="16"/>
      <c r="F404" s="16"/>
      <c r="G404" s="16"/>
      <c r="H404" s="16"/>
      <c r="I404" s="16"/>
      <c r="J404" s="16"/>
      <c r="K404" s="16"/>
      <c r="L404" s="16"/>
      <c r="M404" s="16"/>
      <c r="N404" s="16"/>
      <c r="O404" s="16"/>
      <c r="P404" s="16"/>
      <c r="Q404" s="16"/>
      <c r="R404" s="16"/>
      <c r="S404" s="16"/>
      <c r="T404" s="16"/>
      <c r="U404" s="13"/>
      <c r="V404" s="16"/>
      <c r="W404" s="16"/>
      <c r="X404" s="16"/>
      <c r="Y404" s="8"/>
    </row>
    <row r="405" spans="1:25" ht="15.75" customHeight="1">
      <c r="A405" s="16"/>
      <c r="B405" s="16"/>
      <c r="C405" s="16"/>
      <c r="D405" s="16"/>
      <c r="E405" s="16"/>
      <c r="F405" s="16"/>
      <c r="G405" s="16"/>
      <c r="H405" s="16"/>
      <c r="I405" s="16"/>
      <c r="J405" s="16"/>
      <c r="K405" s="16"/>
      <c r="L405" s="16"/>
      <c r="M405" s="16"/>
      <c r="N405" s="16"/>
      <c r="O405" s="16"/>
      <c r="P405" s="16"/>
      <c r="Q405" s="16"/>
      <c r="R405" s="16"/>
      <c r="S405" s="16"/>
      <c r="T405" s="16"/>
      <c r="U405" s="13"/>
      <c r="V405" s="16"/>
      <c r="W405" s="16"/>
      <c r="X405" s="16"/>
      <c r="Y405" s="8"/>
    </row>
    <row r="406" spans="1:25" ht="15.75" customHeight="1">
      <c r="A406" s="16"/>
      <c r="B406" s="16"/>
      <c r="C406" s="16"/>
      <c r="D406" s="16"/>
      <c r="E406" s="16"/>
      <c r="F406" s="16"/>
      <c r="G406" s="16"/>
      <c r="H406" s="16"/>
      <c r="I406" s="16"/>
      <c r="J406" s="16"/>
      <c r="K406" s="16"/>
      <c r="L406" s="16"/>
      <c r="M406" s="16"/>
      <c r="N406" s="16"/>
      <c r="O406" s="16"/>
      <c r="P406" s="16"/>
      <c r="Q406" s="16"/>
      <c r="R406" s="16"/>
      <c r="S406" s="16"/>
      <c r="T406" s="16"/>
      <c r="U406" s="13"/>
      <c r="V406" s="16"/>
      <c r="W406" s="16"/>
      <c r="X406" s="16"/>
      <c r="Y406" s="8"/>
    </row>
    <row r="407" spans="1:25" ht="15.75" customHeight="1">
      <c r="A407" s="16"/>
      <c r="B407" s="16"/>
      <c r="C407" s="16"/>
      <c r="D407" s="16"/>
      <c r="E407" s="16"/>
      <c r="F407" s="16"/>
      <c r="G407" s="16"/>
      <c r="H407" s="16"/>
      <c r="I407" s="16"/>
      <c r="J407" s="16"/>
      <c r="K407" s="16"/>
      <c r="L407" s="16"/>
      <c r="M407" s="16"/>
      <c r="N407" s="16"/>
      <c r="O407" s="16"/>
      <c r="P407" s="16"/>
      <c r="Q407" s="16"/>
      <c r="R407" s="16"/>
      <c r="S407" s="16"/>
      <c r="T407" s="16"/>
      <c r="U407" s="13"/>
      <c r="V407" s="16"/>
      <c r="W407" s="16"/>
      <c r="X407" s="16"/>
      <c r="Y407" s="8"/>
    </row>
    <row r="408" spans="1:25" ht="15.75" customHeight="1">
      <c r="A408" s="16"/>
      <c r="B408" s="16"/>
      <c r="C408" s="16"/>
      <c r="D408" s="16"/>
      <c r="E408" s="16"/>
      <c r="F408" s="16"/>
      <c r="G408" s="16"/>
      <c r="H408" s="16"/>
      <c r="I408" s="16"/>
      <c r="J408" s="16"/>
      <c r="K408" s="16"/>
      <c r="L408" s="16"/>
      <c r="M408" s="16"/>
      <c r="N408" s="16"/>
      <c r="O408" s="16"/>
      <c r="P408" s="16"/>
      <c r="Q408" s="16"/>
      <c r="R408" s="16"/>
      <c r="S408" s="16"/>
      <c r="T408" s="16"/>
      <c r="U408" s="13"/>
      <c r="V408" s="16"/>
      <c r="W408" s="16"/>
      <c r="X408" s="16"/>
      <c r="Y408" s="8"/>
    </row>
    <row r="409" spans="1:25" ht="15.75" customHeight="1">
      <c r="A409" s="16"/>
      <c r="B409" s="16"/>
      <c r="C409" s="16"/>
      <c r="D409" s="16"/>
      <c r="E409" s="16"/>
      <c r="F409" s="16"/>
      <c r="G409" s="16"/>
      <c r="H409" s="16"/>
      <c r="I409" s="16"/>
      <c r="J409" s="16"/>
      <c r="K409" s="16"/>
      <c r="L409" s="16"/>
      <c r="M409" s="16"/>
      <c r="N409" s="16"/>
      <c r="O409" s="16"/>
      <c r="P409" s="16"/>
      <c r="Q409" s="16"/>
      <c r="R409" s="16"/>
      <c r="S409" s="16"/>
      <c r="T409" s="16"/>
      <c r="U409" s="13"/>
      <c r="V409" s="16"/>
      <c r="W409" s="16"/>
      <c r="X409" s="16"/>
      <c r="Y409" s="8"/>
    </row>
    <row r="410" spans="1:25" ht="15.75" customHeight="1">
      <c r="A410" s="16"/>
      <c r="B410" s="16"/>
      <c r="C410" s="16"/>
      <c r="D410" s="16"/>
      <c r="E410" s="16"/>
      <c r="F410" s="16"/>
      <c r="G410" s="16"/>
      <c r="H410" s="16"/>
      <c r="I410" s="16"/>
      <c r="J410" s="16"/>
      <c r="K410" s="16"/>
      <c r="L410" s="16"/>
      <c r="M410" s="16"/>
      <c r="N410" s="16"/>
      <c r="O410" s="16"/>
      <c r="P410" s="16"/>
      <c r="Q410" s="16"/>
      <c r="R410" s="16"/>
      <c r="S410" s="16"/>
      <c r="T410" s="16"/>
      <c r="U410" s="13"/>
      <c r="V410" s="16"/>
      <c r="W410" s="16"/>
      <c r="X410" s="16"/>
      <c r="Y410" s="8"/>
    </row>
    <row r="411" spans="1:25" ht="15.75" customHeight="1">
      <c r="A411" s="16"/>
      <c r="B411" s="16"/>
      <c r="C411" s="16"/>
      <c r="D411" s="16"/>
      <c r="E411" s="16"/>
      <c r="F411" s="16"/>
      <c r="G411" s="16"/>
      <c r="H411" s="16"/>
      <c r="I411" s="16"/>
      <c r="J411" s="16"/>
      <c r="K411" s="16"/>
      <c r="L411" s="16"/>
      <c r="M411" s="16"/>
      <c r="N411" s="16"/>
      <c r="O411" s="16"/>
      <c r="P411" s="16"/>
      <c r="Q411" s="16"/>
      <c r="R411" s="16"/>
      <c r="S411" s="16"/>
      <c r="T411" s="16"/>
      <c r="U411" s="13"/>
      <c r="V411" s="16"/>
      <c r="W411" s="16"/>
      <c r="X411" s="16"/>
      <c r="Y411" s="8"/>
    </row>
    <row r="412" spans="1:25" ht="15.75" customHeight="1">
      <c r="A412" s="16"/>
      <c r="B412" s="16"/>
      <c r="C412" s="16"/>
      <c r="D412" s="16"/>
      <c r="E412" s="16"/>
      <c r="F412" s="16"/>
      <c r="G412" s="16"/>
      <c r="H412" s="16"/>
      <c r="I412" s="16"/>
      <c r="J412" s="16"/>
      <c r="K412" s="16"/>
      <c r="L412" s="16"/>
      <c r="M412" s="16"/>
      <c r="N412" s="16"/>
      <c r="O412" s="16"/>
      <c r="P412" s="16"/>
      <c r="Q412" s="16"/>
      <c r="R412" s="16"/>
      <c r="S412" s="16"/>
      <c r="T412" s="16"/>
      <c r="U412" s="13"/>
      <c r="V412" s="16"/>
      <c r="W412" s="16"/>
      <c r="X412" s="16"/>
      <c r="Y412" s="8"/>
    </row>
    <row r="413" spans="1:25" ht="15.75" customHeight="1">
      <c r="A413" s="16"/>
      <c r="B413" s="16"/>
      <c r="C413" s="16"/>
      <c r="D413" s="16"/>
      <c r="E413" s="16"/>
      <c r="F413" s="16"/>
      <c r="G413" s="16"/>
      <c r="H413" s="16"/>
      <c r="I413" s="16"/>
      <c r="J413" s="16"/>
      <c r="K413" s="16"/>
      <c r="L413" s="16"/>
      <c r="M413" s="16"/>
      <c r="N413" s="16"/>
      <c r="O413" s="16"/>
      <c r="P413" s="16"/>
      <c r="Q413" s="16"/>
      <c r="R413" s="16"/>
      <c r="S413" s="16"/>
      <c r="T413" s="16"/>
      <c r="U413" s="13"/>
      <c r="V413" s="16"/>
      <c r="W413" s="16"/>
      <c r="X413" s="16"/>
      <c r="Y413" s="8"/>
    </row>
    <row r="414" spans="1:25" ht="15.75" customHeight="1">
      <c r="A414" s="16"/>
      <c r="B414" s="16"/>
      <c r="C414" s="16"/>
      <c r="D414" s="16"/>
      <c r="E414" s="16"/>
      <c r="F414" s="16"/>
      <c r="G414" s="16"/>
      <c r="H414" s="16"/>
      <c r="I414" s="16"/>
      <c r="J414" s="16"/>
      <c r="K414" s="16"/>
      <c r="L414" s="16"/>
      <c r="M414" s="16"/>
      <c r="N414" s="16"/>
      <c r="O414" s="16"/>
      <c r="P414" s="16"/>
      <c r="Q414" s="16"/>
      <c r="R414" s="16"/>
      <c r="S414" s="16"/>
      <c r="T414" s="16"/>
      <c r="U414" s="13"/>
      <c r="V414" s="16"/>
      <c r="W414" s="16"/>
      <c r="X414" s="16"/>
      <c r="Y414" s="8"/>
    </row>
    <row r="415" spans="1:25" ht="15.75" customHeight="1">
      <c r="A415" s="16"/>
      <c r="B415" s="16"/>
      <c r="C415" s="16"/>
      <c r="D415" s="16"/>
      <c r="E415" s="16"/>
      <c r="F415" s="16"/>
      <c r="G415" s="16"/>
      <c r="H415" s="16"/>
      <c r="I415" s="16"/>
      <c r="J415" s="16"/>
      <c r="K415" s="16"/>
      <c r="L415" s="16"/>
      <c r="M415" s="16"/>
      <c r="N415" s="16"/>
      <c r="O415" s="16"/>
      <c r="P415" s="16"/>
      <c r="Q415" s="16"/>
      <c r="R415" s="16"/>
      <c r="S415" s="16"/>
      <c r="T415" s="16"/>
      <c r="U415" s="13"/>
      <c r="V415" s="16"/>
      <c r="W415" s="16"/>
      <c r="X415" s="16"/>
      <c r="Y415" s="8"/>
    </row>
    <row r="416" spans="1:25" ht="15.75" customHeight="1">
      <c r="A416" s="16"/>
      <c r="B416" s="16"/>
      <c r="C416" s="16"/>
      <c r="D416" s="16"/>
      <c r="E416" s="16"/>
      <c r="F416" s="16"/>
      <c r="G416" s="16"/>
      <c r="H416" s="16"/>
      <c r="I416" s="16"/>
      <c r="J416" s="16"/>
      <c r="K416" s="16"/>
      <c r="L416" s="16"/>
      <c r="M416" s="16"/>
      <c r="N416" s="16"/>
      <c r="O416" s="16"/>
      <c r="P416" s="16"/>
      <c r="Q416" s="16"/>
      <c r="R416" s="16"/>
      <c r="S416" s="16"/>
      <c r="T416" s="16"/>
      <c r="U416" s="13"/>
      <c r="V416" s="16"/>
      <c r="W416" s="16"/>
      <c r="X416" s="16"/>
      <c r="Y416" s="8"/>
    </row>
    <row r="417" spans="1:25" ht="15.75" customHeight="1">
      <c r="A417" s="16"/>
      <c r="B417" s="16"/>
      <c r="C417" s="16"/>
      <c r="D417" s="16"/>
      <c r="E417" s="16"/>
      <c r="F417" s="16"/>
      <c r="G417" s="16"/>
      <c r="H417" s="16"/>
      <c r="I417" s="16"/>
      <c r="J417" s="16"/>
      <c r="K417" s="16"/>
      <c r="L417" s="16"/>
      <c r="M417" s="16"/>
      <c r="N417" s="16"/>
      <c r="O417" s="16"/>
      <c r="P417" s="16"/>
      <c r="Q417" s="16"/>
      <c r="R417" s="16"/>
      <c r="S417" s="16"/>
      <c r="T417" s="16"/>
      <c r="U417" s="13"/>
      <c r="V417" s="16"/>
      <c r="W417" s="16"/>
      <c r="X417" s="16"/>
      <c r="Y417" s="8"/>
    </row>
    <row r="418" spans="1:25" ht="15.75" customHeight="1">
      <c r="A418" s="16"/>
      <c r="B418" s="16"/>
      <c r="C418" s="16"/>
      <c r="D418" s="16"/>
      <c r="E418" s="16"/>
      <c r="F418" s="16"/>
      <c r="G418" s="16"/>
      <c r="H418" s="16"/>
      <c r="I418" s="16"/>
      <c r="J418" s="16"/>
      <c r="K418" s="16"/>
      <c r="L418" s="16"/>
      <c r="M418" s="16"/>
      <c r="N418" s="16"/>
      <c r="O418" s="16"/>
      <c r="P418" s="16"/>
      <c r="Q418" s="16"/>
      <c r="R418" s="16"/>
      <c r="S418" s="16"/>
      <c r="T418" s="16"/>
      <c r="U418" s="13"/>
      <c r="V418" s="16"/>
      <c r="W418" s="16"/>
      <c r="X418" s="16"/>
      <c r="Y418" s="8"/>
    </row>
    <row r="419" spans="1:25" ht="15.75" customHeight="1">
      <c r="A419" s="16"/>
      <c r="B419" s="16"/>
      <c r="C419" s="16"/>
      <c r="D419" s="16"/>
      <c r="E419" s="16"/>
      <c r="F419" s="16"/>
      <c r="G419" s="16"/>
      <c r="H419" s="16"/>
      <c r="I419" s="16"/>
      <c r="J419" s="16"/>
      <c r="K419" s="16"/>
      <c r="L419" s="16"/>
      <c r="M419" s="16"/>
      <c r="N419" s="16"/>
      <c r="O419" s="16"/>
      <c r="P419" s="16"/>
      <c r="Q419" s="16"/>
      <c r="R419" s="16"/>
      <c r="S419" s="16"/>
      <c r="T419" s="16"/>
      <c r="U419" s="13"/>
      <c r="V419" s="16"/>
      <c r="W419" s="16"/>
      <c r="X419" s="16"/>
      <c r="Y419" s="8"/>
    </row>
    <row r="420" spans="1:25" ht="15.75" customHeight="1">
      <c r="A420" s="16"/>
      <c r="B420" s="16"/>
      <c r="C420" s="16"/>
      <c r="D420" s="16"/>
      <c r="E420" s="16"/>
      <c r="F420" s="16"/>
      <c r="G420" s="16"/>
      <c r="H420" s="16"/>
      <c r="I420" s="16"/>
      <c r="J420" s="16"/>
      <c r="K420" s="16"/>
      <c r="L420" s="16"/>
      <c r="M420" s="16"/>
      <c r="N420" s="16"/>
      <c r="O420" s="16"/>
      <c r="P420" s="16"/>
      <c r="Q420" s="16"/>
      <c r="R420" s="16"/>
      <c r="S420" s="16"/>
      <c r="T420" s="16"/>
      <c r="U420" s="13"/>
      <c r="V420" s="16"/>
      <c r="W420" s="16"/>
      <c r="X420" s="16"/>
      <c r="Y420" s="8"/>
    </row>
    <row r="421" spans="1:25" ht="15.75" customHeight="1">
      <c r="A421" s="16"/>
      <c r="B421" s="16"/>
      <c r="C421" s="16"/>
      <c r="D421" s="16"/>
      <c r="E421" s="16"/>
      <c r="F421" s="16"/>
      <c r="G421" s="16"/>
      <c r="H421" s="16"/>
      <c r="I421" s="16"/>
      <c r="J421" s="16"/>
      <c r="K421" s="16"/>
      <c r="L421" s="16"/>
      <c r="M421" s="16"/>
      <c r="N421" s="16"/>
      <c r="O421" s="16"/>
      <c r="P421" s="16"/>
      <c r="Q421" s="16"/>
      <c r="R421" s="16"/>
      <c r="S421" s="16"/>
      <c r="T421" s="16"/>
      <c r="U421" s="13"/>
      <c r="V421" s="16"/>
      <c r="W421" s="16"/>
      <c r="X421" s="16"/>
      <c r="Y421" s="8"/>
    </row>
    <row r="422" spans="1:25" ht="15.75" customHeight="1">
      <c r="A422" s="16"/>
      <c r="B422" s="16"/>
      <c r="C422" s="16"/>
      <c r="D422" s="16"/>
      <c r="E422" s="16"/>
      <c r="F422" s="16"/>
      <c r="G422" s="16"/>
      <c r="H422" s="16"/>
      <c r="I422" s="16"/>
      <c r="J422" s="16"/>
      <c r="K422" s="16"/>
      <c r="L422" s="16"/>
      <c r="M422" s="16"/>
      <c r="N422" s="16"/>
      <c r="O422" s="16"/>
      <c r="P422" s="16"/>
      <c r="Q422" s="16"/>
      <c r="R422" s="16"/>
      <c r="S422" s="16"/>
      <c r="T422" s="16"/>
      <c r="U422" s="13"/>
      <c r="V422" s="16"/>
      <c r="W422" s="16"/>
      <c r="X422" s="16"/>
      <c r="Y422" s="8"/>
    </row>
    <row r="423" spans="1:25" ht="15.75" customHeight="1">
      <c r="A423" s="16"/>
      <c r="B423" s="16"/>
      <c r="C423" s="16"/>
      <c r="D423" s="16"/>
      <c r="E423" s="16"/>
      <c r="F423" s="16"/>
      <c r="G423" s="16"/>
      <c r="H423" s="16"/>
      <c r="I423" s="16"/>
      <c r="J423" s="16"/>
      <c r="K423" s="16"/>
      <c r="L423" s="16"/>
      <c r="M423" s="16"/>
      <c r="N423" s="16"/>
      <c r="O423" s="16"/>
      <c r="P423" s="16"/>
      <c r="Q423" s="16"/>
      <c r="R423" s="16"/>
      <c r="S423" s="16"/>
      <c r="T423" s="16"/>
      <c r="U423" s="13"/>
      <c r="V423" s="16"/>
      <c r="W423" s="16"/>
      <c r="X423" s="16"/>
      <c r="Y423" s="8"/>
    </row>
    <row r="424" spans="1:25" ht="15.75" customHeight="1">
      <c r="A424" s="16"/>
      <c r="B424" s="16"/>
      <c r="C424" s="16"/>
      <c r="D424" s="16"/>
      <c r="E424" s="16"/>
      <c r="F424" s="16"/>
      <c r="G424" s="16"/>
      <c r="H424" s="16"/>
      <c r="I424" s="16"/>
      <c r="J424" s="16"/>
      <c r="K424" s="16"/>
      <c r="L424" s="16"/>
      <c r="M424" s="16"/>
      <c r="N424" s="16"/>
      <c r="O424" s="16"/>
      <c r="P424" s="16"/>
      <c r="Q424" s="16"/>
      <c r="R424" s="16"/>
      <c r="S424" s="16"/>
      <c r="T424" s="16"/>
      <c r="U424" s="13"/>
      <c r="V424" s="16"/>
      <c r="W424" s="16"/>
      <c r="X424" s="16"/>
      <c r="Y424" s="8"/>
    </row>
    <row r="425" spans="1:25" ht="15.75" customHeight="1">
      <c r="A425" s="16"/>
      <c r="B425" s="16"/>
      <c r="C425" s="16"/>
      <c r="D425" s="16"/>
      <c r="E425" s="16"/>
      <c r="F425" s="16"/>
      <c r="G425" s="16"/>
      <c r="H425" s="16"/>
      <c r="I425" s="16"/>
      <c r="J425" s="16"/>
      <c r="K425" s="16"/>
      <c r="L425" s="16"/>
      <c r="M425" s="16"/>
      <c r="N425" s="16"/>
      <c r="O425" s="16"/>
      <c r="P425" s="16"/>
      <c r="Q425" s="16"/>
      <c r="R425" s="16"/>
      <c r="S425" s="16"/>
      <c r="T425" s="16"/>
      <c r="U425" s="13"/>
      <c r="V425" s="16"/>
      <c r="W425" s="16"/>
      <c r="X425" s="16"/>
      <c r="Y425" s="8"/>
    </row>
    <row r="426" spans="1:25" ht="15.75" customHeight="1">
      <c r="A426" s="16"/>
      <c r="B426" s="16"/>
      <c r="C426" s="16"/>
      <c r="D426" s="16"/>
      <c r="E426" s="16"/>
      <c r="F426" s="16"/>
      <c r="G426" s="16"/>
      <c r="H426" s="16"/>
      <c r="I426" s="16"/>
      <c r="J426" s="16"/>
      <c r="K426" s="16"/>
      <c r="L426" s="16"/>
      <c r="M426" s="16"/>
      <c r="N426" s="16"/>
      <c r="O426" s="16"/>
      <c r="P426" s="16"/>
      <c r="Q426" s="16"/>
      <c r="R426" s="16"/>
      <c r="S426" s="16"/>
      <c r="T426" s="16"/>
      <c r="U426" s="13"/>
      <c r="V426" s="16"/>
      <c r="W426" s="16"/>
      <c r="X426" s="16"/>
      <c r="Y426" s="8"/>
    </row>
    <row r="427" spans="1:25" ht="15.75" customHeight="1">
      <c r="A427" s="16"/>
      <c r="B427" s="16"/>
      <c r="C427" s="16"/>
      <c r="D427" s="16"/>
      <c r="E427" s="16"/>
      <c r="F427" s="16"/>
      <c r="G427" s="16"/>
      <c r="H427" s="16"/>
      <c r="I427" s="16"/>
      <c r="J427" s="16"/>
      <c r="K427" s="16"/>
      <c r="L427" s="16"/>
      <c r="M427" s="16"/>
      <c r="N427" s="16"/>
      <c r="O427" s="16"/>
      <c r="P427" s="16"/>
      <c r="Q427" s="16"/>
      <c r="R427" s="16"/>
      <c r="S427" s="16"/>
      <c r="T427" s="16"/>
      <c r="U427" s="13"/>
      <c r="V427" s="16"/>
      <c r="W427" s="16"/>
      <c r="X427" s="16"/>
      <c r="Y427" s="8"/>
    </row>
    <row r="428" spans="1:25" ht="15.75" customHeight="1">
      <c r="A428" s="16"/>
      <c r="B428" s="16"/>
      <c r="C428" s="16"/>
      <c r="D428" s="16"/>
      <c r="E428" s="16"/>
      <c r="F428" s="16"/>
      <c r="G428" s="16"/>
      <c r="H428" s="16"/>
      <c r="I428" s="16"/>
      <c r="J428" s="16"/>
      <c r="K428" s="16"/>
      <c r="L428" s="16"/>
      <c r="M428" s="16"/>
      <c r="N428" s="16"/>
      <c r="O428" s="16"/>
      <c r="P428" s="16"/>
      <c r="Q428" s="16"/>
      <c r="R428" s="16"/>
      <c r="S428" s="16"/>
      <c r="T428" s="16"/>
      <c r="U428" s="13"/>
      <c r="V428" s="16"/>
      <c r="W428" s="16"/>
      <c r="X428" s="16"/>
      <c r="Y428" s="8"/>
    </row>
    <row r="429" spans="1:25" ht="15.75" customHeight="1">
      <c r="A429" s="16"/>
      <c r="B429" s="16"/>
      <c r="C429" s="16"/>
      <c r="D429" s="16"/>
      <c r="E429" s="16"/>
      <c r="F429" s="16"/>
      <c r="G429" s="16"/>
      <c r="H429" s="16"/>
      <c r="I429" s="16"/>
      <c r="J429" s="16"/>
      <c r="K429" s="16"/>
      <c r="L429" s="16"/>
      <c r="M429" s="16"/>
      <c r="N429" s="16"/>
      <c r="O429" s="16"/>
      <c r="P429" s="16"/>
      <c r="Q429" s="16"/>
      <c r="R429" s="16"/>
      <c r="S429" s="16"/>
      <c r="T429" s="16"/>
      <c r="U429" s="13"/>
      <c r="V429" s="16"/>
      <c r="W429" s="16"/>
      <c r="X429" s="16"/>
      <c r="Y429" s="8"/>
    </row>
    <row r="430" spans="1:25" ht="15.75" customHeight="1">
      <c r="A430" s="16"/>
      <c r="B430" s="16"/>
      <c r="C430" s="16"/>
      <c r="D430" s="16"/>
      <c r="E430" s="16"/>
      <c r="F430" s="16"/>
      <c r="G430" s="16"/>
      <c r="H430" s="16"/>
      <c r="I430" s="16"/>
      <c r="J430" s="16"/>
      <c r="K430" s="16"/>
      <c r="L430" s="16"/>
      <c r="M430" s="16"/>
      <c r="N430" s="16"/>
      <c r="O430" s="16"/>
      <c r="P430" s="16"/>
      <c r="Q430" s="16"/>
      <c r="R430" s="16"/>
      <c r="S430" s="16"/>
      <c r="T430" s="16"/>
      <c r="U430" s="13"/>
      <c r="V430" s="16"/>
      <c r="W430" s="16"/>
      <c r="X430" s="16"/>
      <c r="Y430" s="8"/>
    </row>
    <row r="431" spans="1:25" ht="15.75" customHeight="1">
      <c r="A431" s="16"/>
      <c r="B431" s="16"/>
      <c r="C431" s="16"/>
      <c r="D431" s="16"/>
      <c r="E431" s="16"/>
      <c r="F431" s="16"/>
      <c r="G431" s="16"/>
      <c r="H431" s="16"/>
      <c r="I431" s="16"/>
      <c r="J431" s="16"/>
      <c r="K431" s="16"/>
      <c r="L431" s="16"/>
      <c r="M431" s="16"/>
      <c r="N431" s="16"/>
      <c r="O431" s="16"/>
      <c r="P431" s="16"/>
      <c r="Q431" s="16"/>
      <c r="R431" s="16"/>
      <c r="S431" s="16"/>
      <c r="T431" s="16"/>
      <c r="U431" s="13"/>
      <c r="V431" s="16"/>
      <c r="W431" s="16"/>
      <c r="X431" s="16"/>
      <c r="Y431" s="8"/>
    </row>
    <row r="432" spans="1:25" ht="15.75" customHeight="1">
      <c r="A432" s="16"/>
      <c r="B432" s="16"/>
      <c r="C432" s="16"/>
      <c r="D432" s="16"/>
      <c r="E432" s="16"/>
      <c r="F432" s="16"/>
      <c r="G432" s="16"/>
      <c r="H432" s="16"/>
      <c r="I432" s="16"/>
      <c r="J432" s="16"/>
      <c r="K432" s="16"/>
      <c r="L432" s="16"/>
      <c r="M432" s="16"/>
      <c r="N432" s="16"/>
      <c r="O432" s="16"/>
      <c r="P432" s="16"/>
      <c r="Q432" s="16"/>
      <c r="R432" s="16"/>
      <c r="S432" s="16"/>
      <c r="T432" s="16"/>
      <c r="U432" s="13"/>
      <c r="V432" s="16"/>
      <c r="W432" s="16"/>
      <c r="X432" s="16"/>
      <c r="Y432" s="8"/>
    </row>
    <row r="433" spans="1:25" ht="15.75" customHeight="1">
      <c r="A433" s="16"/>
      <c r="B433" s="16"/>
      <c r="C433" s="16"/>
      <c r="D433" s="16"/>
      <c r="E433" s="16"/>
      <c r="F433" s="16"/>
      <c r="G433" s="16"/>
      <c r="H433" s="16"/>
      <c r="I433" s="16"/>
      <c r="J433" s="16"/>
      <c r="K433" s="16"/>
      <c r="L433" s="16"/>
      <c r="M433" s="16"/>
      <c r="N433" s="16"/>
      <c r="O433" s="16"/>
      <c r="P433" s="16"/>
      <c r="Q433" s="16"/>
      <c r="R433" s="16"/>
      <c r="S433" s="16"/>
      <c r="T433" s="16"/>
      <c r="U433" s="13"/>
      <c r="V433" s="16"/>
      <c r="W433" s="16"/>
      <c r="X433" s="16"/>
      <c r="Y433" s="8"/>
    </row>
    <row r="434" spans="1:25" ht="15.75" customHeight="1">
      <c r="A434" s="16"/>
      <c r="B434" s="16"/>
      <c r="C434" s="16"/>
      <c r="D434" s="16"/>
      <c r="E434" s="16"/>
      <c r="F434" s="16"/>
      <c r="G434" s="16"/>
      <c r="H434" s="16"/>
      <c r="I434" s="16"/>
      <c r="J434" s="16"/>
      <c r="K434" s="16"/>
      <c r="L434" s="16"/>
      <c r="M434" s="16"/>
      <c r="N434" s="16"/>
      <c r="O434" s="16"/>
      <c r="P434" s="16"/>
      <c r="Q434" s="16"/>
      <c r="R434" s="16"/>
      <c r="S434" s="16"/>
      <c r="T434" s="16"/>
      <c r="U434" s="13"/>
      <c r="V434" s="16"/>
      <c r="W434" s="16"/>
      <c r="X434" s="16"/>
      <c r="Y434" s="8"/>
    </row>
    <row r="435" spans="1:25" ht="15.75" customHeight="1">
      <c r="A435" s="16"/>
      <c r="B435" s="16"/>
      <c r="C435" s="16"/>
      <c r="D435" s="16"/>
      <c r="E435" s="16"/>
      <c r="F435" s="16"/>
      <c r="G435" s="16"/>
      <c r="H435" s="16"/>
      <c r="I435" s="16"/>
      <c r="J435" s="16"/>
      <c r="K435" s="16"/>
      <c r="L435" s="16"/>
      <c r="M435" s="16"/>
      <c r="N435" s="16"/>
      <c r="O435" s="16"/>
      <c r="P435" s="16"/>
      <c r="Q435" s="16"/>
      <c r="R435" s="16"/>
      <c r="S435" s="16"/>
      <c r="T435" s="16"/>
      <c r="U435" s="13"/>
      <c r="V435" s="16"/>
      <c r="W435" s="16"/>
      <c r="X435" s="16"/>
      <c r="Y435" s="8"/>
    </row>
    <row r="436" spans="1:25" ht="15.75" customHeight="1">
      <c r="A436" s="16"/>
      <c r="B436" s="16"/>
      <c r="C436" s="16"/>
      <c r="D436" s="16"/>
      <c r="E436" s="16"/>
      <c r="F436" s="16"/>
      <c r="G436" s="16"/>
      <c r="H436" s="16"/>
      <c r="I436" s="16"/>
      <c r="J436" s="16"/>
      <c r="K436" s="16"/>
      <c r="L436" s="16"/>
      <c r="M436" s="16"/>
      <c r="N436" s="16"/>
      <c r="O436" s="16"/>
      <c r="P436" s="16"/>
      <c r="Q436" s="16"/>
      <c r="R436" s="16"/>
      <c r="S436" s="16"/>
      <c r="T436" s="16"/>
      <c r="U436" s="13"/>
      <c r="V436" s="16"/>
      <c r="W436" s="16"/>
      <c r="X436" s="16"/>
      <c r="Y436" s="8"/>
    </row>
    <row r="437" spans="1:25" ht="15.75" customHeight="1">
      <c r="A437" s="16"/>
      <c r="B437" s="16"/>
      <c r="C437" s="16"/>
      <c r="D437" s="16"/>
      <c r="E437" s="16"/>
      <c r="F437" s="16"/>
      <c r="G437" s="16"/>
      <c r="H437" s="16"/>
      <c r="I437" s="16"/>
      <c r="J437" s="16"/>
      <c r="K437" s="16"/>
      <c r="L437" s="16"/>
      <c r="M437" s="16"/>
      <c r="N437" s="16"/>
      <c r="O437" s="16"/>
      <c r="P437" s="16"/>
      <c r="Q437" s="16"/>
      <c r="R437" s="16"/>
      <c r="S437" s="16"/>
      <c r="T437" s="16"/>
      <c r="U437" s="13"/>
      <c r="V437" s="16"/>
      <c r="W437" s="16"/>
      <c r="X437" s="16"/>
      <c r="Y437" s="8"/>
    </row>
    <row r="438" spans="1:25" ht="15.75" customHeight="1">
      <c r="A438" s="16"/>
      <c r="B438" s="16"/>
      <c r="C438" s="16"/>
      <c r="D438" s="16"/>
      <c r="E438" s="16"/>
      <c r="F438" s="16"/>
      <c r="G438" s="16"/>
      <c r="H438" s="16"/>
      <c r="I438" s="16"/>
      <c r="J438" s="16"/>
      <c r="K438" s="16"/>
      <c r="L438" s="16"/>
      <c r="M438" s="16"/>
      <c r="N438" s="16"/>
      <c r="O438" s="16"/>
      <c r="P438" s="16"/>
      <c r="Q438" s="16"/>
      <c r="R438" s="16"/>
      <c r="S438" s="16"/>
      <c r="T438" s="16"/>
      <c r="U438" s="13"/>
      <c r="V438" s="16"/>
      <c r="W438" s="16"/>
      <c r="X438" s="16"/>
      <c r="Y438" s="8"/>
    </row>
    <row r="439" spans="1:25" ht="15.75" customHeight="1">
      <c r="A439" s="16"/>
      <c r="B439" s="16"/>
      <c r="C439" s="16"/>
      <c r="D439" s="16"/>
      <c r="E439" s="16"/>
      <c r="F439" s="16"/>
      <c r="G439" s="16"/>
      <c r="H439" s="16"/>
      <c r="I439" s="16"/>
      <c r="J439" s="16"/>
      <c r="K439" s="16"/>
      <c r="L439" s="16"/>
      <c r="M439" s="16"/>
      <c r="N439" s="16"/>
      <c r="O439" s="16"/>
      <c r="P439" s="16"/>
      <c r="Q439" s="16"/>
      <c r="R439" s="16"/>
      <c r="S439" s="16"/>
      <c r="T439" s="16"/>
      <c r="U439" s="13"/>
      <c r="V439" s="16"/>
      <c r="W439" s="16"/>
      <c r="X439" s="16"/>
      <c r="Y439" s="8"/>
    </row>
    <row r="440" spans="1:25" ht="15.75" customHeight="1">
      <c r="A440" s="16"/>
      <c r="B440" s="16"/>
      <c r="C440" s="16"/>
      <c r="D440" s="16"/>
      <c r="E440" s="16"/>
      <c r="F440" s="16"/>
      <c r="G440" s="16"/>
      <c r="H440" s="16"/>
      <c r="I440" s="16"/>
      <c r="J440" s="16"/>
      <c r="K440" s="16"/>
      <c r="L440" s="16"/>
      <c r="M440" s="16"/>
      <c r="N440" s="16"/>
      <c r="O440" s="16"/>
      <c r="P440" s="16"/>
      <c r="Q440" s="16"/>
      <c r="R440" s="16"/>
      <c r="S440" s="16"/>
      <c r="T440" s="16"/>
      <c r="U440" s="13"/>
      <c r="V440" s="16"/>
      <c r="W440" s="16"/>
      <c r="X440" s="16"/>
      <c r="Y440" s="8"/>
    </row>
    <row r="441" spans="1:25" ht="15.75" customHeight="1">
      <c r="A441" s="16"/>
      <c r="B441" s="16"/>
      <c r="C441" s="16"/>
      <c r="D441" s="16"/>
      <c r="E441" s="16"/>
      <c r="F441" s="16"/>
      <c r="G441" s="16"/>
      <c r="H441" s="16"/>
      <c r="I441" s="16"/>
      <c r="J441" s="16"/>
      <c r="K441" s="16"/>
      <c r="L441" s="16"/>
      <c r="M441" s="16"/>
      <c r="N441" s="16"/>
      <c r="O441" s="16"/>
      <c r="P441" s="16"/>
      <c r="Q441" s="16"/>
      <c r="R441" s="16"/>
      <c r="S441" s="16"/>
      <c r="T441" s="16"/>
      <c r="U441" s="13"/>
      <c r="V441" s="16"/>
      <c r="W441" s="16"/>
      <c r="X441" s="16"/>
      <c r="Y441" s="8"/>
    </row>
    <row r="442" spans="1:25" ht="15.75" customHeight="1">
      <c r="A442" s="16"/>
      <c r="B442" s="16"/>
      <c r="C442" s="16"/>
      <c r="D442" s="16"/>
      <c r="E442" s="16"/>
      <c r="F442" s="16"/>
      <c r="G442" s="16"/>
      <c r="H442" s="16"/>
      <c r="I442" s="16"/>
      <c r="J442" s="16"/>
      <c r="K442" s="16"/>
      <c r="L442" s="16"/>
      <c r="M442" s="16"/>
      <c r="N442" s="16"/>
      <c r="O442" s="16"/>
      <c r="P442" s="16"/>
      <c r="Q442" s="16"/>
      <c r="R442" s="16"/>
      <c r="S442" s="16"/>
      <c r="T442" s="16"/>
      <c r="U442" s="13"/>
      <c r="V442" s="16"/>
      <c r="W442" s="16"/>
      <c r="X442" s="16"/>
      <c r="Y442" s="8"/>
    </row>
    <row r="443" spans="1:25" ht="15.75" customHeight="1">
      <c r="A443" s="16"/>
      <c r="B443" s="16"/>
      <c r="C443" s="16"/>
      <c r="D443" s="16"/>
      <c r="E443" s="16"/>
      <c r="F443" s="16"/>
      <c r="G443" s="16"/>
      <c r="H443" s="16"/>
      <c r="I443" s="16"/>
      <c r="J443" s="16"/>
      <c r="K443" s="16"/>
      <c r="L443" s="16"/>
      <c r="M443" s="16"/>
      <c r="N443" s="16"/>
      <c r="O443" s="16"/>
      <c r="P443" s="16"/>
      <c r="Q443" s="16"/>
      <c r="R443" s="16"/>
      <c r="S443" s="16"/>
      <c r="T443" s="16"/>
      <c r="U443" s="13"/>
      <c r="V443" s="16"/>
      <c r="W443" s="16"/>
      <c r="X443" s="16"/>
      <c r="Y443" s="8"/>
    </row>
    <row r="444" spans="1:25" ht="15.75" customHeight="1">
      <c r="A444" s="16"/>
      <c r="B444" s="16"/>
      <c r="C444" s="16"/>
      <c r="D444" s="16"/>
      <c r="E444" s="16"/>
      <c r="F444" s="16"/>
      <c r="G444" s="16"/>
      <c r="H444" s="16"/>
      <c r="I444" s="16"/>
      <c r="J444" s="16"/>
      <c r="K444" s="16"/>
      <c r="L444" s="16"/>
      <c r="M444" s="16"/>
      <c r="N444" s="16"/>
      <c r="O444" s="16"/>
      <c r="P444" s="16"/>
      <c r="Q444" s="16"/>
      <c r="R444" s="16"/>
      <c r="S444" s="16"/>
      <c r="T444" s="16"/>
      <c r="U444" s="13"/>
      <c r="V444" s="16"/>
      <c r="W444" s="16"/>
      <c r="X444" s="16"/>
      <c r="Y444" s="8"/>
    </row>
    <row r="445" spans="1:25" ht="15.75" customHeight="1">
      <c r="A445" s="16"/>
      <c r="B445" s="16"/>
      <c r="C445" s="16"/>
      <c r="D445" s="16"/>
      <c r="E445" s="16"/>
      <c r="F445" s="16"/>
      <c r="G445" s="16"/>
      <c r="H445" s="16"/>
      <c r="I445" s="16"/>
      <c r="J445" s="16"/>
      <c r="K445" s="16"/>
      <c r="L445" s="16"/>
      <c r="M445" s="16"/>
      <c r="N445" s="16"/>
      <c r="O445" s="16"/>
      <c r="P445" s="16"/>
      <c r="Q445" s="16"/>
      <c r="R445" s="16"/>
      <c r="S445" s="16"/>
      <c r="T445" s="16"/>
      <c r="U445" s="13"/>
      <c r="V445" s="16"/>
      <c r="W445" s="16"/>
      <c r="X445" s="16"/>
      <c r="Y445" s="8"/>
    </row>
    <row r="446" spans="1:25" ht="15.75" customHeight="1">
      <c r="A446" s="16"/>
      <c r="B446" s="16"/>
      <c r="C446" s="16"/>
      <c r="D446" s="16"/>
      <c r="E446" s="16"/>
      <c r="F446" s="16"/>
      <c r="G446" s="16"/>
      <c r="H446" s="16"/>
      <c r="I446" s="16"/>
      <c r="J446" s="16"/>
      <c r="K446" s="16"/>
      <c r="L446" s="16"/>
      <c r="M446" s="16"/>
      <c r="N446" s="16"/>
      <c r="O446" s="16"/>
      <c r="P446" s="16"/>
      <c r="Q446" s="16"/>
      <c r="R446" s="16"/>
      <c r="S446" s="16"/>
      <c r="T446" s="16"/>
      <c r="U446" s="13"/>
      <c r="V446" s="16"/>
      <c r="W446" s="16"/>
      <c r="X446" s="16"/>
      <c r="Y446" s="8"/>
    </row>
    <row r="447" spans="1:25" ht="15.75" customHeight="1">
      <c r="A447" s="16"/>
      <c r="B447" s="16"/>
      <c r="C447" s="16"/>
      <c r="D447" s="16"/>
      <c r="E447" s="16"/>
      <c r="F447" s="16"/>
      <c r="G447" s="16"/>
      <c r="H447" s="16"/>
      <c r="I447" s="16"/>
      <c r="J447" s="16"/>
      <c r="K447" s="16"/>
      <c r="L447" s="16"/>
      <c r="M447" s="16"/>
      <c r="N447" s="16"/>
      <c r="O447" s="16"/>
      <c r="P447" s="16"/>
      <c r="Q447" s="16"/>
      <c r="R447" s="16"/>
      <c r="S447" s="16"/>
      <c r="T447" s="16"/>
      <c r="U447" s="13"/>
      <c r="V447" s="16"/>
      <c r="W447" s="16"/>
      <c r="X447" s="16"/>
      <c r="Y447" s="8"/>
    </row>
    <row r="448" spans="1:25" ht="15.75" customHeight="1">
      <c r="A448" s="16"/>
      <c r="B448" s="16"/>
      <c r="C448" s="16"/>
      <c r="D448" s="16"/>
      <c r="E448" s="16"/>
      <c r="F448" s="16"/>
      <c r="G448" s="16"/>
      <c r="H448" s="16"/>
      <c r="I448" s="16"/>
      <c r="J448" s="16"/>
      <c r="K448" s="16"/>
      <c r="L448" s="16"/>
      <c r="M448" s="16"/>
      <c r="N448" s="16"/>
      <c r="O448" s="16"/>
      <c r="P448" s="16"/>
      <c r="Q448" s="16"/>
      <c r="R448" s="16"/>
      <c r="S448" s="16"/>
      <c r="T448" s="16"/>
      <c r="U448" s="13"/>
      <c r="V448" s="16"/>
      <c r="W448" s="16"/>
      <c r="X448" s="16"/>
      <c r="Y448" s="8"/>
    </row>
    <row r="449" spans="1:25" ht="15.75" customHeight="1">
      <c r="A449" s="16"/>
      <c r="B449" s="16"/>
      <c r="C449" s="16"/>
      <c r="D449" s="16"/>
      <c r="E449" s="16"/>
      <c r="F449" s="16"/>
      <c r="G449" s="16"/>
      <c r="H449" s="16"/>
      <c r="I449" s="16"/>
      <c r="J449" s="16"/>
      <c r="K449" s="16"/>
      <c r="L449" s="16"/>
      <c r="M449" s="16"/>
      <c r="N449" s="16"/>
      <c r="O449" s="16"/>
      <c r="P449" s="16"/>
      <c r="Q449" s="16"/>
      <c r="R449" s="16"/>
      <c r="S449" s="16"/>
      <c r="T449" s="16"/>
      <c r="U449" s="13"/>
      <c r="V449" s="16"/>
      <c r="W449" s="16"/>
      <c r="X449" s="16"/>
      <c r="Y449" s="8"/>
    </row>
    <row r="450" spans="1:25" ht="15.75" customHeight="1">
      <c r="A450" s="16"/>
      <c r="B450" s="16"/>
      <c r="C450" s="16"/>
      <c r="D450" s="16"/>
      <c r="E450" s="16"/>
      <c r="F450" s="16"/>
      <c r="G450" s="16"/>
      <c r="H450" s="16"/>
      <c r="I450" s="16"/>
      <c r="J450" s="16"/>
      <c r="K450" s="16"/>
      <c r="L450" s="16"/>
      <c r="M450" s="16"/>
      <c r="N450" s="16"/>
      <c r="O450" s="16"/>
      <c r="P450" s="16"/>
      <c r="Q450" s="16"/>
      <c r="R450" s="16"/>
      <c r="S450" s="16"/>
      <c r="T450" s="16"/>
      <c r="U450" s="13"/>
      <c r="V450" s="16"/>
      <c r="W450" s="16"/>
      <c r="X450" s="16"/>
      <c r="Y450" s="8"/>
    </row>
    <row r="451" spans="1:25" ht="15.75" customHeight="1">
      <c r="A451" s="16"/>
      <c r="B451" s="16"/>
      <c r="C451" s="16"/>
      <c r="D451" s="16"/>
      <c r="E451" s="16"/>
      <c r="F451" s="16"/>
      <c r="G451" s="16"/>
      <c r="H451" s="16"/>
      <c r="I451" s="16"/>
      <c r="J451" s="16"/>
      <c r="K451" s="16"/>
      <c r="L451" s="16"/>
      <c r="M451" s="16"/>
      <c r="N451" s="16"/>
      <c r="O451" s="16"/>
      <c r="P451" s="16"/>
      <c r="Q451" s="16"/>
      <c r="R451" s="16"/>
      <c r="S451" s="16"/>
      <c r="T451" s="16"/>
      <c r="U451" s="13"/>
      <c r="V451" s="16"/>
      <c r="W451" s="16"/>
      <c r="X451" s="16"/>
      <c r="Y451" s="8"/>
    </row>
    <row r="452" spans="1:25" ht="15.75" customHeight="1">
      <c r="A452" s="16"/>
      <c r="B452" s="16"/>
      <c r="C452" s="16"/>
      <c r="D452" s="16"/>
      <c r="E452" s="16"/>
      <c r="F452" s="16"/>
      <c r="G452" s="16"/>
      <c r="H452" s="16"/>
      <c r="I452" s="16"/>
      <c r="J452" s="16"/>
      <c r="K452" s="16"/>
      <c r="L452" s="16"/>
      <c r="M452" s="16"/>
      <c r="N452" s="16"/>
      <c r="O452" s="16"/>
      <c r="P452" s="16"/>
      <c r="Q452" s="16"/>
      <c r="R452" s="16"/>
      <c r="S452" s="16"/>
      <c r="T452" s="16"/>
      <c r="U452" s="13"/>
      <c r="V452" s="16"/>
      <c r="W452" s="16"/>
      <c r="X452" s="16"/>
      <c r="Y452" s="8"/>
    </row>
    <row r="453" spans="1:25" ht="15.75" customHeight="1">
      <c r="A453" s="16"/>
      <c r="B453" s="16"/>
      <c r="C453" s="16"/>
      <c r="D453" s="16"/>
      <c r="E453" s="16"/>
      <c r="F453" s="16"/>
      <c r="G453" s="16"/>
      <c r="H453" s="16"/>
      <c r="I453" s="16"/>
      <c r="J453" s="16"/>
      <c r="K453" s="16"/>
      <c r="L453" s="16"/>
      <c r="M453" s="16"/>
      <c r="N453" s="16"/>
      <c r="O453" s="16"/>
      <c r="P453" s="16"/>
      <c r="Q453" s="16"/>
      <c r="R453" s="16"/>
      <c r="S453" s="16"/>
      <c r="T453" s="16"/>
      <c r="U453" s="13"/>
      <c r="V453" s="16"/>
      <c r="W453" s="16"/>
      <c r="X453" s="16"/>
      <c r="Y453" s="8"/>
    </row>
    <row r="454" spans="1:25" ht="15.75" customHeight="1">
      <c r="A454" s="16"/>
      <c r="B454" s="16"/>
      <c r="C454" s="16"/>
      <c r="D454" s="16"/>
      <c r="E454" s="16"/>
      <c r="F454" s="16"/>
      <c r="G454" s="16"/>
      <c r="H454" s="16"/>
      <c r="I454" s="16"/>
      <c r="J454" s="16"/>
      <c r="K454" s="16"/>
      <c r="L454" s="16"/>
      <c r="M454" s="16"/>
      <c r="N454" s="16"/>
      <c r="O454" s="16"/>
      <c r="P454" s="16"/>
      <c r="Q454" s="16"/>
      <c r="R454" s="16"/>
      <c r="S454" s="16"/>
      <c r="T454" s="16"/>
      <c r="U454" s="13"/>
      <c r="V454" s="16"/>
      <c r="W454" s="16"/>
      <c r="X454" s="16"/>
      <c r="Y454" s="8"/>
    </row>
    <row r="455" spans="1:25" ht="15.75" customHeight="1">
      <c r="A455" s="16"/>
      <c r="B455" s="16"/>
      <c r="C455" s="16"/>
      <c r="D455" s="16"/>
      <c r="E455" s="16"/>
      <c r="F455" s="16"/>
      <c r="G455" s="16"/>
      <c r="H455" s="16"/>
      <c r="I455" s="16"/>
      <c r="J455" s="16"/>
      <c r="K455" s="16"/>
      <c r="L455" s="16"/>
      <c r="M455" s="16"/>
      <c r="N455" s="16"/>
      <c r="O455" s="16"/>
      <c r="P455" s="16"/>
      <c r="Q455" s="16"/>
      <c r="R455" s="16"/>
      <c r="S455" s="16"/>
      <c r="T455" s="16"/>
      <c r="U455" s="13"/>
      <c r="V455" s="16"/>
      <c r="W455" s="16"/>
      <c r="X455" s="16"/>
      <c r="Y455" s="8"/>
    </row>
    <row r="456" spans="1:25" ht="15.75" customHeight="1">
      <c r="A456" s="16"/>
      <c r="B456" s="16"/>
      <c r="C456" s="16"/>
      <c r="D456" s="16"/>
      <c r="E456" s="16"/>
      <c r="F456" s="16"/>
      <c r="G456" s="16"/>
      <c r="H456" s="16"/>
      <c r="I456" s="16"/>
      <c r="J456" s="16"/>
      <c r="K456" s="16"/>
      <c r="L456" s="16"/>
      <c r="M456" s="16"/>
      <c r="N456" s="16"/>
      <c r="O456" s="16"/>
      <c r="P456" s="16"/>
      <c r="Q456" s="16"/>
      <c r="R456" s="16"/>
      <c r="S456" s="16"/>
      <c r="T456" s="16"/>
      <c r="U456" s="13"/>
      <c r="V456" s="16"/>
      <c r="W456" s="16"/>
      <c r="X456" s="16"/>
      <c r="Y456" s="8"/>
    </row>
    <row r="457" spans="1:25" ht="15.75" customHeight="1">
      <c r="A457" s="16"/>
      <c r="B457" s="16"/>
      <c r="C457" s="16"/>
      <c r="D457" s="16"/>
      <c r="E457" s="16"/>
      <c r="F457" s="16"/>
      <c r="G457" s="16"/>
      <c r="H457" s="16"/>
      <c r="I457" s="16"/>
      <c r="J457" s="16"/>
      <c r="K457" s="16"/>
      <c r="L457" s="16"/>
      <c r="M457" s="16"/>
      <c r="N457" s="16"/>
      <c r="O457" s="16"/>
      <c r="P457" s="16"/>
      <c r="Q457" s="16"/>
      <c r="R457" s="16"/>
      <c r="S457" s="16"/>
      <c r="T457" s="16"/>
      <c r="U457" s="13"/>
      <c r="V457" s="16"/>
      <c r="W457" s="16"/>
      <c r="X457" s="16"/>
      <c r="Y457" s="8"/>
    </row>
    <row r="458" spans="1:25" ht="15.75" customHeight="1">
      <c r="A458" s="16"/>
      <c r="B458" s="16"/>
      <c r="C458" s="16"/>
      <c r="D458" s="16"/>
      <c r="E458" s="16"/>
      <c r="F458" s="16"/>
      <c r="G458" s="16"/>
      <c r="H458" s="16"/>
      <c r="I458" s="16"/>
      <c r="J458" s="16"/>
      <c r="K458" s="16"/>
      <c r="L458" s="16"/>
      <c r="M458" s="16"/>
      <c r="N458" s="16"/>
      <c r="O458" s="16"/>
      <c r="P458" s="16"/>
      <c r="Q458" s="16"/>
      <c r="R458" s="16"/>
      <c r="S458" s="16"/>
      <c r="T458" s="16"/>
      <c r="U458" s="13"/>
      <c r="V458" s="16"/>
      <c r="W458" s="16"/>
      <c r="X458" s="16"/>
      <c r="Y458" s="8"/>
    </row>
    <row r="459" spans="1:25" ht="15.75" customHeight="1">
      <c r="A459" s="16"/>
      <c r="B459" s="16"/>
      <c r="C459" s="16"/>
      <c r="D459" s="16"/>
      <c r="E459" s="16"/>
      <c r="F459" s="16"/>
      <c r="G459" s="16"/>
      <c r="H459" s="16"/>
      <c r="I459" s="16"/>
      <c r="J459" s="16"/>
      <c r="K459" s="16"/>
      <c r="L459" s="16"/>
      <c r="M459" s="16"/>
      <c r="N459" s="16"/>
      <c r="O459" s="16"/>
      <c r="P459" s="16"/>
      <c r="Q459" s="16"/>
      <c r="R459" s="16"/>
      <c r="S459" s="16"/>
      <c r="T459" s="16"/>
      <c r="U459" s="13"/>
      <c r="V459" s="16"/>
      <c r="W459" s="16"/>
      <c r="X459" s="16"/>
      <c r="Y459" s="8"/>
    </row>
    <row r="460" spans="1:25" ht="15.75" customHeight="1">
      <c r="A460" s="16"/>
      <c r="B460" s="16"/>
      <c r="C460" s="16"/>
      <c r="D460" s="16"/>
      <c r="E460" s="16"/>
      <c r="F460" s="16"/>
      <c r="G460" s="16"/>
      <c r="H460" s="16"/>
      <c r="I460" s="16"/>
      <c r="J460" s="16"/>
      <c r="K460" s="16"/>
      <c r="L460" s="16"/>
      <c r="M460" s="16"/>
      <c r="N460" s="16"/>
      <c r="O460" s="16"/>
      <c r="P460" s="16"/>
      <c r="Q460" s="16"/>
      <c r="R460" s="16"/>
      <c r="S460" s="16"/>
      <c r="T460" s="16"/>
      <c r="U460" s="13"/>
      <c r="V460" s="16"/>
      <c r="W460" s="16"/>
      <c r="X460" s="16"/>
      <c r="Y460" s="8"/>
    </row>
    <row r="461" spans="1:25" ht="15.75" customHeight="1">
      <c r="A461" s="16"/>
      <c r="B461" s="16"/>
      <c r="C461" s="16"/>
      <c r="D461" s="16"/>
      <c r="E461" s="16"/>
      <c r="F461" s="16"/>
      <c r="G461" s="16"/>
      <c r="H461" s="16"/>
      <c r="I461" s="16"/>
      <c r="J461" s="16"/>
      <c r="K461" s="16"/>
      <c r="L461" s="16"/>
      <c r="M461" s="16"/>
      <c r="N461" s="16"/>
      <c r="O461" s="16"/>
      <c r="P461" s="16"/>
      <c r="Q461" s="16"/>
      <c r="R461" s="16"/>
      <c r="S461" s="16"/>
      <c r="T461" s="16"/>
      <c r="U461" s="13"/>
      <c r="V461" s="16"/>
      <c r="W461" s="16"/>
      <c r="X461" s="16"/>
      <c r="Y461" s="8"/>
    </row>
    <row r="462" spans="1:25" ht="15.75" customHeight="1">
      <c r="A462" s="16"/>
      <c r="B462" s="16"/>
      <c r="C462" s="16"/>
      <c r="D462" s="16"/>
      <c r="E462" s="16"/>
      <c r="F462" s="16"/>
      <c r="G462" s="16"/>
      <c r="H462" s="16"/>
      <c r="I462" s="16"/>
      <c r="J462" s="16"/>
      <c r="K462" s="16"/>
      <c r="L462" s="16"/>
      <c r="M462" s="16"/>
      <c r="N462" s="16"/>
      <c r="O462" s="16"/>
      <c r="P462" s="16"/>
      <c r="Q462" s="16"/>
      <c r="R462" s="16"/>
      <c r="S462" s="16"/>
      <c r="T462" s="16"/>
      <c r="U462" s="13"/>
      <c r="V462" s="16"/>
      <c r="W462" s="16"/>
      <c r="X462" s="16"/>
      <c r="Y462" s="8"/>
    </row>
    <row r="463" spans="1:25" ht="15.75" customHeight="1">
      <c r="A463" s="16"/>
      <c r="B463" s="16"/>
      <c r="C463" s="16"/>
      <c r="D463" s="16"/>
      <c r="E463" s="16"/>
      <c r="F463" s="16"/>
      <c r="G463" s="16"/>
      <c r="H463" s="16"/>
      <c r="I463" s="16"/>
      <c r="J463" s="16"/>
      <c r="K463" s="16"/>
      <c r="L463" s="16"/>
      <c r="M463" s="16"/>
      <c r="N463" s="16"/>
      <c r="O463" s="16"/>
      <c r="P463" s="16"/>
      <c r="Q463" s="16"/>
      <c r="R463" s="16"/>
      <c r="S463" s="16"/>
      <c r="T463" s="16"/>
      <c r="U463" s="13"/>
      <c r="V463" s="16"/>
      <c r="W463" s="16"/>
      <c r="X463" s="16"/>
      <c r="Y463" s="8"/>
    </row>
    <row r="464" spans="1:25" ht="15.75" customHeight="1">
      <c r="A464" s="16"/>
      <c r="B464" s="16"/>
      <c r="C464" s="16"/>
      <c r="D464" s="16"/>
      <c r="E464" s="16"/>
      <c r="F464" s="16"/>
      <c r="G464" s="16"/>
      <c r="H464" s="16"/>
      <c r="I464" s="16"/>
      <c r="J464" s="16"/>
      <c r="K464" s="16"/>
      <c r="L464" s="16"/>
      <c r="M464" s="16"/>
      <c r="N464" s="16"/>
      <c r="O464" s="16"/>
      <c r="P464" s="16"/>
      <c r="Q464" s="16"/>
      <c r="R464" s="16"/>
      <c r="S464" s="16"/>
      <c r="T464" s="16"/>
      <c r="U464" s="13"/>
      <c r="V464" s="16"/>
      <c r="W464" s="16"/>
      <c r="X464" s="16"/>
      <c r="Y464" s="8"/>
    </row>
    <row r="465" spans="1:25" ht="15.75" customHeight="1">
      <c r="A465" s="16"/>
      <c r="B465" s="16"/>
      <c r="C465" s="16"/>
      <c r="D465" s="16"/>
      <c r="E465" s="16"/>
      <c r="F465" s="16"/>
      <c r="G465" s="16"/>
      <c r="H465" s="16"/>
      <c r="I465" s="16"/>
      <c r="J465" s="16"/>
      <c r="K465" s="16"/>
      <c r="L465" s="16"/>
      <c r="M465" s="16"/>
      <c r="N465" s="16"/>
      <c r="O465" s="16"/>
      <c r="P465" s="16"/>
      <c r="Q465" s="16"/>
      <c r="R465" s="16"/>
      <c r="S465" s="16"/>
      <c r="T465" s="16"/>
      <c r="U465" s="13"/>
      <c r="V465" s="16"/>
      <c r="W465" s="16"/>
      <c r="X465" s="16"/>
      <c r="Y465" s="8"/>
    </row>
    <row r="466" spans="1:25" ht="15.75" customHeight="1">
      <c r="A466" s="16"/>
      <c r="B466" s="16"/>
      <c r="C466" s="16"/>
      <c r="D466" s="16"/>
      <c r="E466" s="16"/>
      <c r="F466" s="16"/>
      <c r="G466" s="16"/>
      <c r="H466" s="16"/>
      <c r="I466" s="16"/>
      <c r="J466" s="16"/>
      <c r="K466" s="16"/>
      <c r="L466" s="16"/>
      <c r="M466" s="16"/>
      <c r="N466" s="16"/>
      <c r="O466" s="16"/>
      <c r="P466" s="16"/>
      <c r="Q466" s="16"/>
      <c r="R466" s="16"/>
      <c r="S466" s="16"/>
      <c r="T466" s="16"/>
      <c r="U466" s="13"/>
      <c r="V466" s="16"/>
      <c r="W466" s="16"/>
      <c r="X466" s="16"/>
      <c r="Y466" s="8"/>
    </row>
    <row r="467" spans="1:25" ht="15.75" customHeight="1">
      <c r="A467" s="16"/>
      <c r="B467" s="16"/>
      <c r="C467" s="16"/>
      <c r="D467" s="16"/>
      <c r="E467" s="16"/>
      <c r="F467" s="16"/>
      <c r="G467" s="16"/>
      <c r="H467" s="16"/>
      <c r="I467" s="16"/>
      <c r="J467" s="16"/>
      <c r="K467" s="16"/>
      <c r="L467" s="16"/>
      <c r="M467" s="16"/>
      <c r="N467" s="16"/>
      <c r="O467" s="16"/>
      <c r="P467" s="16"/>
      <c r="Q467" s="16"/>
      <c r="R467" s="16"/>
      <c r="S467" s="16"/>
      <c r="T467" s="16"/>
      <c r="U467" s="13"/>
      <c r="V467" s="16"/>
      <c r="W467" s="16"/>
      <c r="X467" s="16"/>
      <c r="Y467" s="8"/>
    </row>
    <row r="468" spans="1:25" ht="15.75" customHeight="1">
      <c r="A468" s="16"/>
      <c r="B468" s="16"/>
      <c r="C468" s="16"/>
      <c r="D468" s="16"/>
      <c r="E468" s="16"/>
      <c r="F468" s="16"/>
      <c r="G468" s="16"/>
      <c r="H468" s="16"/>
      <c r="I468" s="16"/>
      <c r="J468" s="16"/>
      <c r="K468" s="16"/>
      <c r="L468" s="16"/>
      <c r="M468" s="16"/>
      <c r="N468" s="16"/>
      <c r="O468" s="16"/>
      <c r="P468" s="16"/>
      <c r="Q468" s="16"/>
      <c r="R468" s="16"/>
      <c r="S468" s="16"/>
      <c r="T468" s="16"/>
      <c r="U468" s="13"/>
      <c r="V468" s="16"/>
      <c r="W468" s="16"/>
      <c r="X468" s="16"/>
      <c r="Y468" s="8"/>
    </row>
    <row r="469" spans="1:25" ht="15.75" customHeight="1">
      <c r="A469" s="16"/>
      <c r="B469" s="16"/>
      <c r="C469" s="16"/>
      <c r="D469" s="16"/>
      <c r="E469" s="16"/>
      <c r="F469" s="16"/>
      <c r="G469" s="16"/>
      <c r="H469" s="16"/>
      <c r="I469" s="16"/>
      <c r="J469" s="16"/>
      <c r="K469" s="16"/>
      <c r="L469" s="16"/>
      <c r="M469" s="16"/>
      <c r="N469" s="16"/>
      <c r="O469" s="16"/>
      <c r="P469" s="16"/>
      <c r="Q469" s="16"/>
      <c r="R469" s="16"/>
      <c r="S469" s="16"/>
      <c r="T469" s="16"/>
      <c r="U469" s="13"/>
      <c r="V469" s="16"/>
      <c r="W469" s="16"/>
      <c r="X469" s="16"/>
      <c r="Y469" s="8"/>
    </row>
    <row r="470" spans="1:25" ht="15.75" customHeight="1">
      <c r="A470" s="16"/>
      <c r="B470" s="16"/>
      <c r="C470" s="16"/>
      <c r="D470" s="16"/>
      <c r="E470" s="16"/>
      <c r="F470" s="16"/>
      <c r="G470" s="16"/>
      <c r="H470" s="16"/>
      <c r="I470" s="16"/>
      <c r="J470" s="16"/>
      <c r="K470" s="16"/>
      <c r="L470" s="16"/>
      <c r="M470" s="16"/>
      <c r="N470" s="16"/>
      <c r="O470" s="16"/>
      <c r="P470" s="16"/>
      <c r="Q470" s="16"/>
      <c r="R470" s="16"/>
      <c r="S470" s="16"/>
      <c r="T470" s="16"/>
      <c r="U470" s="13"/>
      <c r="V470" s="16"/>
      <c r="W470" s="16"/>
      <c r="X470" s="16"/>
      <c r="Y470" s="8"/>
    </row>
    <row r="471" spans="1:25" ht="15.75" customHeight="1">
      <c r="A471" s="16"/>
      <c r="B471" s="16"/>
      <c r="C471" s="16"/>
      <c r="D471" s="16"/>
      <c r="E471" s="16"/>
      <c r="F471" s="16"/>
      <c r="G471" s="16"/>
      <c r="H471" s="16"/>
      <c r="I471" s="16"/>
      <c r="J471" s="16"/>
      <c r="K471" s="16"/>
      <c r="L471" s="16"/>
      <c r="M471" s="16"/>
      <c r="N471" s="16"/>
      <c r="O471" s="16"/>
      <c r="P471" s="16"/>
      <c r="Q471" s="16"/>
      <c r="R471" s="16"/>
      <c r="S471" s="16"/>
      <c r="T471" s="16"/>
      <c r="U471" s="13"/>
      <c r="V471" s="16"/>
      <c r="W471" s="16"/>
      <c r="X471" s="16"/>
      <c r="Y471" s="8"/>
    </row>
    <row r="472" spans="1:25" ht="15.75" customHeight="1">
      <c r="A472" s="16"/>
      <c r="B472" s="16"/>
      <c r="C472" s="16"/>
      <c r="D472" s="16"/>
      <c r="E472" s="16"/>
      <c r="F472" s="16"/>
      <c r="G472" s="16"/>
      <c r="H472" s="16"/>
      <c r="I472" s="16"/>
      <c r="J472" s="16"/>
      <c r="K472" s="16"/>
      <c r="L472" s="16"/>
      <c r="M472" s="16"/>
      <c r="N472" s="16"/>
      <c r="O472" s="16"/>
      <c r="P472" s="16"/>
      <c r="Q472" s="16"/>
      <c r="R472" s="16"/>
      <c r="S472" s="16"/>
      <c r="T472" s="16"/>
      <c r="U472" s="13"/>
      <c r="V472" s="16"/>
      <c r="W472" s="16"/>
      <c r="X472" s="16"/>
      <c r="Y472" s="8"/>
    </row>
    <row r="473" spans="1:25" ht="15.75" customHeight="1">
      <c r="A473" s="16"/>
      <c r="B473" s="16"/>
      <c r="C473" s="16"/>
      <c r="D473" s="16"/>
      <c r="E473" s="16"/>
      <c r="F473" s="16"/>
      <c r="G473" s="16"/>
      <c r="H473" s="16"/>
      <c r="I473" s="16"/>
      <c r="J473" s="16"/>
      <c r="K473" s="16"/>
      <c r="L473" s="16"/>
      <c r="M473" s="16"/>
      <c r="N473" s="16"/>
      <c r="O473" s="16"/>
      <c r="P473" s="16"/>
      <c r="Q473" s="16"/>
      <c r="R473" s="16"/>
      <c r="S473" s="16"/>
      <c r="T473" s="16"/>
      <c r="U473" s="13"/>
      <c r="V473" s="16"/>
      <c r="W473" s="16"/>
      <c r="X473" s="16"/>
      <c r="Y473" s="8"/>
    </row>
    <row r="474" spans="1:25" ht="15.75" customHeight="1">
      <c r="A474" s="16"/>
      <c r="B474" s="16"/>
      <c r="C474" s="16"/>
      <c r="D474" s="16"/>
      <c r="E474" s="16"/>
      <c r="F474" s="16"/>
      <c r="G474" s="16"/>
      <c r="H474" s="16"/>
      <c r="I474" s="16"/>
      <c r="J474" s="16"/>
      <c r="K474" s="16"/>
      <c r="L474" s="16"/>
      <c r="M474" s="16"/>
      <c r="N474" s="16"/>
      <c r="O474" s="16"/>
      <c r="P474" s="16"/>
      <c r="Q474" s="16"/>
      <c r="R474" s="16"/>
      <c r="S474" s="16"/>
      <c r="T474" s="16"/>
      <c r="U474" s="13"/>
      <c r="V474" s="16"/>
      <c r="W474" s="16"/>
      <c r="X474" s="16"/>
      <c r="Y474" s="8"/>
    </row>
    <row r="475" spans="1:25" ht="15.75" customHeight="1">
      <c r="A475" s="16"/>
      <c r="B475" s="16"/>
      <c r="C475" s="16"/>
      <c r="D475" s="16"/>
      <c r="E475" s="16"/>
      <c r="F475" s="16"/>
      <c r="G475" s="16"/>
      <c r="H475" s="16"/>
      <c r="I475" s="16"/>
      <c r="J475" s="16"/>
      <c r="K475" s="16"/>
      <c r="L475" s="16"/>
      <c r="M475" s="16"/>
      <c r="N475" s="16"/>
      <c r="O475" s="16"/>
      <c r="P475" s="16"/>
      <c r="Q475" s="16"/>
      <c r="R475" s="16"/>
      <c r="S475" s="16"/>
      <c r="T475" s="16"/>
      <c r="U475" s="13"/>
      <c r="V475" s="16"/>
      <c r="W475" s="16"/>
      <c r="X475" s="16"/>
      <c r="Y475" s="8"/>
    </row>
    <row r="476" spans="1:25" ht="15.75" customHeight="1">
      <c r="A476" s="16"/>
      <c r="B476" s="16"/>
      <c r="C476" s="16"/>
      <c r="D476" s="16"/>
      <c r="E476" s="16"/>
      <c r="F476" s="16"/>
      <c r="G476" s="16"/>
      <c r="H476" s="16"/>
      <c r="I476" s="16"/>
      <c r="J476" s="16"/>
      <c r="K476" s="16"/>
      <c r="L476" s="16"/>
      <c r="M476" s="16"/>
      <c r="N476" s="16"/>
      <c r="O476" s="16"/>
      <c r="P476" s="16"/>
      <c r="Q476" s="16"/>
      <c r="R476" s="16"/>
      <c r="S476" s="16"/>
      <c r="T476" s="16"/>
      <c r="U476" s="13"/>
      <c r="V476" s="16"/>
      <c r="W476" s="16"/>
      <c r="X476" s="16"/>
      <c r="Y476" s="8"/>
    </row>
    <row r="477" spans="1:25" ht="15.75" customHeight="1">
      <c r="A477" s="16"/>
      <c r="B477" s="16"/>
      <c r="C477" s="16"/>
      <c r="D477" s="16"/>
      <c r="E477" s="16"/>
      <c r="F477" s="16"/>
      <c r="G477" s="16"/>
      <c r="H477" s="16"/>
      <c r="I477" s="16"/>
      <c r="J477" s="16"/>
      <c r="K477" s="16"/>
      <c r="L477" s="16"/>
      <c r="M477" s="16"/>
      <c r="N477" s="16"/>
      <c r="O477" s="16"/>
      <c r="P477" s="16"/>
      <c r="Q477" s="16"/>
      <c r="R477" s="16"/>
      <c r="S477" s="16"/>
      <c r="T477" s="16"/>
      <c r="U477" s="13"/>
      <c r="V477" s="16"/>
      <c r="W477" s="16"/>
      <c r="X477" s="16"/>
      <c r="Y477" s="8"/>
    </row>
    <row r="478" spans="1:25" ht="15.75" customHeight="1">
      <c r="A478" s="16"/>
      <c r="B478" s="16"/>
      <c r="C478" s="16"/>
      <c r="D478" s="16"/>
      <c r="E478" s="16"/>
      <c r="F478" s="16"/>
      <c r="G478" s="16"/>
      <c r="H478" s="16"/>
      <c r="I478" s="16"/>
      <c r="J478" s="16"/>
      <c r="K478" s="16"/>
      <c r="L478" s="16"/>
      <c r="M478" s="16"/>
      <c r="N478" s="16"/>
      <c r="O478" s="16"/>
      <c r="P478" s="16"/>
      <c r="Q478" s="16"/>
      <c r="R478" s="16"/>
      <c r="S478" s="16"/>
      <c r="T478" s="16"/>
      <c r="U478" s="13"/>
      <c r="V478" s="16"/>
      <c r="W478" s="16"/>
      <c r="X478" s="16"/>
      <c r="Y478" s="8"/>
    </row>
    <row r="479" spans="1:25" ht="15.75" customHeight="1">
      <c r="A479" s="16"/>
      <c r="B479" s="16"/>
      <c r="C479" s="16"/>
      <c r="D479" s="16"/>
      <c r="E479" s="16"/>
      <c r="F479" s="16"/>
      <c r="G479" s="16"/>
      <c r="H479" s="16"/>
      <c r="I479" s="16"/>
      <c r="J479" s="16"/>
      <c r="K479" s="16"/>
      <c r="L479" s="16"/>
      <c r="M479" s="16"/>
      <c r="N479" s="16"/>
      <c r="O479" s="16"/>
      <c r="P479" s="16"/>
      <c r="Q479" s="16"/>
      <c r="R479" s="16"/>
      <c r="S479" s="16"/>
      <c r="T479" s="16"/>
      <c r="U479" s="13"/>
      <c r="V479" s="16"/>
      <c r="W479" s="16"/>
      <c r="X479" s="16"/>
      <c r="Y479" s="8"/>
    </row>
    <row r="480" spans="1:25" ht="15.75" customHeight="1">
      <c r="A480" s="16"/>
      <c r="B480" s="16"/>
      <c r="C480" s="16"/>
      <c r="D480" s="16"/>
      <c r="E480" s="16"/>
      <c r="F480" s="16"/>
      <c r="G480" s="16"/>
      <c r="H480" s="16"/>
      <c r="I480" s="16"/>
      <c r="J480" s="16"/>
      <c r="K480" s="16"/>
      <c r="L480" s="16"/>
      <c r="M480" s="16"/>
      <c r="N480" s="16"/>
      <c r="O480" s="16"/>
      <c r="P480" s="16"/>
      <c r="Q480" s="16"/>
      <c r="R480" s="16"/>
      <c r="S480" s="16"/>
      <c r="T480" s="16"/>
      <c r="U480" s="13"/>
      <c r="V480" s="16"/>
      <c r="W480" s="16"/>
      <c r="X480" s="16"/>
      <c r="Y480" s="8"/>
    </row>
    <row r="481" spans="1:25" ht="15.75" customHeight="1">
      <c r="A481" s="16"/>
      <c r="B481" s="16"/>
      <c r="C481" s="16"/>
      <c r="D481" s="16"/>
      <c r="E481" s="16"/>
      <c r="F481" s="16"/>
      <c r="G481" s="16"/>
      <c r="H481" s="16"/>
      <c r="I481" s="16"/>
      <c r="J481" s="16"/>
      <c r="K481" s="16"/>
      <c r="L481" s="16"/>
      <c r="M481" s="16"/>
      <c r="N481" s="16"/>
      <c r="O481" s="16"/>
      <c r="P481" s="16"/>
      <c r="Q481" s="16"/>
      <c r="R481" s="16"/>
      <c r="S481" s="16"/>
      <c r="T481" s="16"/>
      <c r="U481" s="13"/>
      <c r="V481" s="16"/>
      <c r="W481" s="16"/>
      <c r="X481" s="16"/>
      <c r="Y481" s="8"/>
    </row>
    <row r="482" spans="1:25" ht="15.75" customHeight="1">
      <c r="A482" s="16"/>
      <c r="B482" s="16"/>
      <c r="C482" s="16"/>
      <c r="D482" s="16"/>
      <c r="E482" s="16"/>
      <c r="F482" s="16"/>
      <c r="G482" s="16"/>
      <c r="H482" s="16"/>
      <c r="I482" s="16"/>
      <c r="J482" s="16"/>
      <c r="K482" s="16"/>
      <c r="L482" s="16"/>
      <c r="M482" s="16"/>
      <c r="N482" s="16"/>
      <c r="O482" s="16"/>
      <c r="P482" s="16"/>
      <c r="Q482" s="16"/>
      <c r="R482" s="16"/>
      <c r="S482" s="16"/>
      <c r="T482" s="16"/>
      <c r="U482" s="13"/>
      <c r="V482" s="16"/>
      <c r="W482" s="16"/>
      <c r="X482" s="16"/>
      <c r="Y482" s="8"/>
    </row>
    <row r="483" spans="1:25" ht="15.75" customHeight="1">
      <c r="A483" s="16"/>
      <c r="B483" s="16"/>
      <c r="C483" s="16"/>
      <c r="D483" s="16"/>
      <c r="E483" s="16"/>
      <c r="F483" s="16"/>
      <c r="G483" s="16"/>
      <c r="H483" s="16"/>
      <c r="I483" s="16"/>
      <c r="J483" s="16"/>
      <c r="K483" s="16"/>
      <c r="L483" s="16"/>
      <c r="M483" s="16"/>
      <c r="N483" s="16"/>
      <c r="O483" s="16"/>
      <c r="P483" s="16"/>
      <c r="Q483" s="16"/>
      <c r="R483" s="16"/>
      <c r="S483" s="16"/>
      <c r="T483" s="16"/>
      <c r="U483" s="13"/>
      <c r="V483" s="16"/>
      <c r="W483" s="16"/>
      <c r="X483" s="16"/>
      <c r="Y483" s="8"/>
    </row>
    <row r="484" spans="1:25" ht="15.75" customHeight="1">
      <c r="A484" s="16"/>
      <c r="B484" s="16"/>
      <c r="C484" s="16"/>
      <c r="D484" s="16"/>
      <c r="E484" s="16"/>
      <c r="F484" s="16"/>
      <c r="G484" s="16"/>
      <c r="H484" s="16"/>
      <c r="I484" s="16"/>
      <c r="J484" s="16"/>
      <c r="K484" s="16"/>
      <c r="L484" s="16"/>
      <c r="M484" s="16"/>
      <c r="N484" s="16"/>
      <c r="O484" s="16"/>
      <c r="P484" s="16"/>
      <c r="Q484" s="16"/>
      <c r="R484" s="16"/>
      <c r="S484" s="16"/>
      <c r="T484" s="16"/>
      <c r="U484" s="13"/>
      <c r="V484" s="16"/>
      <c r="W484" s="16"/>
      <c r="X484" s="16"/>
      <c r="Y484" s="8"/>
    </row>
    <row r="485" spans="1:25" ht="15.75" customHeight="1">
      <c r="A485" s="16"/>
      <c r="B485" s="16"/>
      <c r="C485" s="16"/>
      <c r="D485" s="16"/>
      <c r="E485" s="16"/>
      <c r="F485" s="16"/>
      <c r="G485" s="16"/>
      <c r="H485" s="16"/>
      <c r="I485" s="16"/>
      <c r="J485" s="16"/>
      <c r="K485" s="16"/>
      <c r="L485" s="16"/>
      <c r="M485" s="16"/>
      <c r="N485" s="16"/>
      <c r="O485" s="16"/>
      <c r="P485" s="16"/>
      <c r="Q485" s="16"/>
      <c r="R485" s="16"/>
      <c r="S485" s="16"/>
      <c r="T485" s="16"/>
      <c r="U485" s="13"/>
      <c r="V485" s="16"/>
      <c r="W485" s="16"/>
      <c r="X485" s="16"/>
      <c r="Y485" s="8"/>
    </row>
    <row r="486" spans="1:25" ht="15.75" customHeight="1">
      <c r="A486" s="16"/>
      <c r="B486" s="16"/>
      <c r="C486" s="16"/>
      <c r="D486" s="16"/>
      <c r="E486" s="16"/>
      <c r="F486" s="16"/>
      <c r="G486" s="16"/>
      <c r="H486" s="16"/>
      <c r="I486" s="16"/>
      <c r="J486" s="16"/>
      <c r="K486" s="16"/>
      <c r="L486" s="16"/>
      <c r="M486" s="16"/>
      <c r="N486" s="16"/>
      <c r="O486" s="16"/>
      <c r="P486" s="16"/>
      <c r="Q486" s="16"/>
      <c r="R486" s="16"/>
      <c r="S486" s="16"/>
      <c r="T486" s="16"/>
      <c r="U486" s="13"/>
      <c r="V486" s="16"/>
      <c r="W486" s="16"/>
      <c r="X486" s="16"/>
      <c r="Y486" s="8"/>
    </row>
    <row r="487" spans="1:25" ht="15.75" customHeight="1">
      <c r="A487" s="16"/>
      <c r="B487" s="16"/>
      <c r="C487" s="16"/>
      <c r="D487" s="16"/>
      <c r="E487" s="16"/>
      <c r="F487" s="16"/>
      <c r="G487" s="16"/>
      <c r="H487" s="16"/>
      <c r="I487" s="16"/>
      <c r="J487" s="16"/>
      <c r="K487" s="16"/>
      <c r="L487" s="16"/>
      <c r="M487" s="16"/>
      <c r="N487" s="16"/>
      <c r="O487" s="16"/>
      <c r="P487" s="16"/>
      <c r="Q487" s="16"/>
      <c r="R487" s="16"/>
      <c r="S487" s="16"/>
      <c r="T487" s="16"/>
      <c r="U487" s="13"/>
      <c r="V487" s="16"/>
      <c r="W487" s="16"/>
      <c r="X487" s="16"/>
      <c r="Y487" s="8"/>
    </row>
    <row r="488" spans="1:25" ht="15.75" customHeight="1">
      <c r="A488" s="16"/>
      <c r="B488" s="16"/>
      <c r="C488" s="16"/>
      <c r="D488" s="16"/>
      <c r="E488" s="16"/>
      <c r="F488" s="16"/>
      <c r="G488" s="16"/>
      <c r="H488" s="16"/>
      <c r="I488" s="16"/>
      <c r="J488" s="16"/>
      <c r="K488" s="16"/>
      <c r="L488" s="16"/>
      <c r="M488" s="16"/>
      <c r="N488" s="16"/>
      <c r="O488" s="16"/>
      <c r="P488" s="16"/>
      <c r="Q488" s="16"/>
      <c r="R488" s="16"/>
      <c r="S488" s="16"/>
      <c r="T488" s="16"/>
      <c r="U488" s="13"/>
      <c r="V488" s="16"/>
      <c r="W488" s="16"/>
      <c r="X488" s="16"/>
      <c r="Y488" s="8"/>
    </row>
    <row r="489" spans="1:25" ht="15.75" customHeight="1">
      <c r="A489" s="16"/>
      <c r="B489" s="16"/>
      <c r="C489" s="16"/>
      <c r="D489" s="16"/>
      <c r="E489" s="16"/>
      <c r="F489" s="16"/>
      <c r="G489" s="16"/>
      <c r="H489" s="16"/>
      <c r="I489" s="16"/>
      <c r="J489" s="16"/>
      <c r="K489" s="16"/>
      <c r="L489" s="16"/>
      <c r="M489" s="16"/>
      <c r="N489" s="16"/>
      <c r="O489" s="16"/>
      <c r="P489" s="16"/>
      <c r="Q489" s="16"/>
      <c r="R489" s="16"/>
      <c r="S489" s="16"/>
      <c r="T489" s="16"/>
      <c r="U489" s="13"/>
      <c r="V489" s="16"/>
      <c r="W489" s="16"/>
      <c r="X489" s="16"/>
      <c r="Y489" s="8"/>
    </row>
    <row r="490" spans="1:25" ht="15.75" customHeight="1">
      <c r="A490" s="16"/>
      <c r="B490" s="16"/>
      <c r="C490" s="16"/>
      <c r="D490" s="16"/>
      <c r="E490" s="16"/>
      <c r="F490" s="16"/>
      <c r="G490" s="16"/>
      <c r="H490" s="16"/>
      <c r="I490" s="16"/>
      <c r="J490" s="16"/>
      <c r="K490" s="16"/>
      <c r="L490" s="16"/>
      <c r="M490" s="16"/>
      <c r="N490" s="16"/>
      <c r="O490" s="16"/>
      <c r="P490" s="16"/>
      <c r="Q490" s="16"/>
      <c r="R490" s="16"/>
      <c r="S490" s="16"/>
      <c r="T490" s="16"/>
      <c r="U490" s="13"/>
      <c r="V490" s="16"/>
      <c r="W490" s="16"/>
      <c r="X490" s="16"/>
      <c r="Y490" s="8"/>
    </row>
    <row r="491" spans="1:25" ht="15.75" customHeight="1">
      <c r="A491" s="16"/>
      <c r="B491" s="16"/>
      <c r="C491" s="16"/>
      <c r="D491" s="16"/>
      <c r="E491" s="16"/>
      <c r="F491" s="16"/>
      <c r="G491" s="16"/>
      <c r="H491" s="16"/>
      <c r="I491" s="16"/>
      <c r="J491" s="16"/>
      <c r="K491" s="16"/>
      <c r="L491" s="16"/>
      <c r="M491" s="16"/>
      <c r="N491" s="16"/>
      <c r="O491" s="16"/>
      <c r="P491" s="16"/>
      <c r="Q491" s="16"/>
      <c r="R491" s="16"/>
      <c r="S491" s="16"/>
      <c r="T491" s="16"/>
      <c r="U491" s="13"/>
      <c r="V491" s="16"/>
      <c r="W491" s="16"/>
      <c r="X491" s="16"/>
      <c r="Y491" s="8"/>
    </row>
    <row r="492" spans="1:25" ht="15.75" customHeight="1">
      <c r="A492" s="16"/>
      <c r="B492" s="16"/>
      <c r="C492" s="16"/>
      <c r="D492" s="16"/>
      <c r="E492" s="16"/>
      <c r="F492" s="16"/>
      <c r="G492" s="16"/>
      <c r="H492" s="16"/>
      <c r="I492" s="16"/>
      <c r="J492" s="16"/>
      <c r="K492" s="16"/>
      <c r="L492" s="16"/>
      <c r="M492" s="16"/>
      <c r="N492" s="16"/>
      <c r="O492" s="16"/>
      <c r="P492" s="16"/>
      <c r="Q492" s="16"/>
      <c r="R492" s="16"/>
      <c r="S492" s="16"/>
      <c r="T492" s="16"/>
      <c r="U492" s="13"/>
      <c r="V492" s="16"/>
      <c r="W492" s="16"/>
      <c r="X492" s="16"/>
      <c r="Y492" s="8"/>
    </row>
    <row r="493" spans="1:25" ht="15.75" customHeight="1">
      <c r="A493" s="16"/>
      <c r="B493" s="16"/>
      <c r="C493" s="16"/>
      <c r="D493" s="16"/>
      <c r="E493" s="16"/>
      <c r="F493" s="16"/>
      <c r="G493" s="16"/>
      <c r="H493" s="16"/>
      <c r="I493" s="16"/>
      <c r="J493" s="16"/>
      <c r="K493" s="16"/>
      <c r="L493" s="16"/>
      <c r="M493" s="16"/>
      <c r="N493" s="16"/>
      <c r="O493" s="16"/>
      <c r="P493" s="16"/>
      <c r="Q493" s="16"/>
      <c r="R493" s="16"/>
      <c r="S493" s="16"/>
      <c r="T493" s="16"/>
      <c r="U493" s="13"/>
      <c r="V493" s="16"/>
      <c r="W493" s="16"/>
      <c r="X493" s="16"/>
      <c r="Y493" s="8"/>
    </row>
    <row r="494" spans="1:25" ht="15.75" customHeight="1">
      <c r="A494" s="16"/>
      <c r="B494" s="16"/>
      <c r="C494" s="16"/>
      <c r="D494" s="16"/>
      <c r="E494" s="16"/>
      <c r="F494" s="16"/>
      <c r="G494" s="16"/>
      <c r="H494" s="16"/>
      <c r="I494" s="16"/>
      <c r="J494" s="16"/>
      <c r="K494" s="16"/>
      <c r="L494" s="16"/>
      <c r="M494" s="16"/>
      <c r="N494" s="16"/>
      <c r="O494" s="16"/>
      <c r="P494" s="16"/>
      <c r="Q494" s="16"/>
      <c r="R494" s="16"/>
      <c r="S494" s="16"/>
      <c r="T494" s="16"/>
      <c r="U494" s="13"/>
      <c r="V494" s="16"/>
      <c r="W494" s="16"/>
      <c r="X494" s="16"/>
      <c r="Y494" s="8"/>
    </row>
    <row r="495" spans="1:25" ht="15.75" customHeight="1">
      <c r="A495" s="16"/>
      <c r="B495" s="16"/>
      <c r="C495" s="16"/>
      <c r="D495" s="16"/>
      <c r="E495" s="16"/>
      <c r="F495" s="16"/>
      <c r="G495" s="16"/>
      <c r="H495" s="16"/>
      <c r="I495" s="16"/>
      <c r="J495" s="16"/>
      <c r="K495" s="16"/>
      <c r="L495" s="16"/>
      <c r="M495" s="16"/>
      <c r="N495" s="16"/>
      <c r="O495" s="16"/>
      <c r="P495" s="16"/>
      <c r="Q495" s="16"/>
      <c r="R495" s="16"/>
      <c r="S495" s="16"/>
      <c r="T495" s="16"/>
      <c r="U495" s="13"/>
      <c r="V495" s="16"/>
      <c r="W495" s="16"/>
      <c r="X495" s="16"/>
      <c r="Y495" s="8"/>
    </row>
    <row r="496" spans="1:25" ht="15.75" customHeight="1">
      <c r="A496" s="16"/>
      <c r="B496" s="16"/>
      <c r="C496" s="16"/>
      <c r="D496" s="16"/>
      <c r="E496" s="16"/>
      <c r="F496" s="16"/>
      <c r="G496" s="16"/>
      <c r="H496" s="16"/>
      <c r="I496" s="16"/>
      <c r="J496" s="16"/>
      <c r="K496" s="16"/>
      <c r="L496" s="16"/>
      <c r="M496" s="16"/>
      <c r="N496" s="16"/>
      <c r="O496" s="16"/>
      <c r="P496" s="16"/>
      <c r="Q496" s="16"/>
      <c r="R496" s="16"/>
      <c r="S496" s="16"/>
      <c r="T496" s="16"/>
      <c r="U496" s="13"/>
      <c r="V496" s="16"/>
      <c r="W496" s="16"/>
      <c r="X496" s="16"/>
      <c r="Y496" s="8"/>
    </row>
    <row r="497" spans="1:25" ht="15.75" customHeight="1">
      <c r="A497" s="16"/>
      <c r="B497" s="16"/>
      <c r="C497" s="16"/>
      <c r="D497" s="16"/>
      <c r="E497" s="16"/>
      <c r="F497" s="16"/>
      <c r="G497" s="16"/>
      <c r="H497" s="16"/>
      <c r="I497" s="16"/>
      <c r="J497" s="16"/>
      <c r="K497" s="16"/>
      <c r="L497" s="16"/>
      <c r="M497" s="16"/>
      <c r="N497" s="16"/>
      <c r="O497" s="16"/>
      <c r="P497" s="16"/>
      <c r="Q497" s="16"/>
      <c r="R497" s="16"/>
      <c r="S497" s="16"/>
      <c r="T497" s="16"/>
      <c r="U497" s="13"/>
      <c r="V497" s="16"/>
      <c r="W497" s="16"/>
      <c r="X497" s="16"/>
      <c r="Y497" s="8"/>
    </row>
    <row r="498" spans="1:25" ht="15.75" customHeight="1">
      <c r="A498" s="16"/>
      <c r="B498" s="16"/>
      <c r="C498" s="16"/>
      <c r="D498" s="16"/>
      <c r="E498" s="16"/>
      <c r="F498" s="16"/>
      <c r="G498" s="16"/>
      <c r="H498" s="16"/>
      <c r="I498" s="16"/>
      <c r="J498" s="16"/>
      <c r="K498" s="16"/>
      <c r="L498" s="16"/>
      <c r="M498" s="16"/>
      <c r="N498" s="16"/>
      <c r="O498" s="16"/>
      <c r="P498" s="16"/>
      <c r="Q498" s="16"/>
      <c r="R498" s="16"/>
      <c r="S498" s="16"/>
      <c r="T498" s="16"/>
      <c r="U498" s="13"/>
      <c r="V498" s="16"/>
      <c r="W498" s="16"/>
      <c r="X498" s="16"/>
      <c r="Y498" s="8"/>
    </row>
    <row r="499" spans="1:25" ht="15.75" customHeight="1">
      <c r="A499" s="16"/>
      <c r="B499" s="16"/>
      <c r="C499" s="16"/>
      <c r="D499" s="16"/>
      <c r="E499" s="16"/>
      <c r="F499" s="16"/>
      <c r="G499" s="16"/>
      <c r="H499" s="16"/>
      <c r="I499" s="16"/>
      <c r="J499" s="16"/>
      <c r="K499" s="16"/>
      <c r="L499" s="16"/>
      <c r="M499" s="16"/>
      <c r="N499" s="16"/>
      <c r="O499" s="16"/>
      <c r="P499" s="16"/>
      <c r="Q499" s="16"/>
      <c r="R499" s="16"/>
      <c r="S499" s="16"/>
      <c r="T499" s="16"/>
      <c r="U499" s="13"/>
      <c r="V499" s="16"/>
      <c r="W499" s="16"/>
      <c r="X499" s="16"/>
      <c r="Y499" s="8"/>
    </row>
    <row r="500" spans="1:25" ht="15.75" customHeight="1">
      <c r="A500" s="16"/>
      <c r="B500" s="16"/>
      <c r="C500" s="16"/>
      <c r="D500" s="16"/>
      <c r="E500" s="16"/>
      <c r="F500" s="16"/>
      <c r="G500" s="16"/>
      <c r="H500" s="16"/>
      <c r="I500" s="16"/>
      <c r="J500" s="16"/>
      <c r="K500" s="16"/>
      <c r="L500" s="16"/>
      <c r="M500" s="16"/>
      <c r="N500" s="16"/>
      <c r="O500" s="16"/>
      <c r="P500" s="16"/>
      <c r="Q500" s="16"/>
      <c r="R500" s="16"/>
      <c r="S500" s="16"/>
      <c r="T500" s="16"/>
      <c r="U500" s="13"/>
      <c r="V500" s="16"/>
      <c r="W500" s="16"/>
      <c r="X500" s="16"/>
      <c r="Y500" s="8"/>
    </row>
    <row r="501" spans="1:25" ht="15.75" customHeight="1">
      <c r="A501" s="16"/>
      <c r="B501" s="16"/>
      <c r="C501" s="16"/>
      <c r="D501" s="16"/>
      <c r="E501" s="16"/>
      <c r="F501" s="16"/>
      <c r="G501" s="16"/>
      <c r="H501" s="16"/>
      <c r="I501" s="16"/>
      <c r="J501" s="16"/>
      <c r="K501" s="16"/>
      <c r="L501" s="16"/>
      <c r="M501" s="16"/>
      <c r="N501" s="16"/>
      <c r="O501" s="16"/>
      <c r="P501" s="16"/>
      <c r="Q501" s="16"/>
      <c r="R501" s="16"/>
      <c r="S501" s="16"/>
      <c r="T501" s="16"/>
      <c r="U501" s="13"/>
      <c r="V501" s="16"/>
      <c r="W501" s="16"/>
      <c r="X501" s="16"/>
      <c r="Y501" s="8"/>
    </row>
    <row r="502" spans="1:25" ht="15.75" customHeight="1">
      <c r="A502" s="16"/>
      <c r="B502" s="16"/>
      <c r="C502" s="16"/>
      <c r="D502" s="16"/>
      <c r="E502" s="16"/>
      <c r="F502" s="16"/>
      <c r="G502" s="16"/>
      <c r="H502" s="16"/>
      <c r="I502" s="16"/>
      <c r="J502" s="16"/>
      <c r="K502" s="16"/>
      <c r="L502" s="16"/>
      <c r="M502" s="16"/>
      <c r="N502" s="16"/>
      <c r="O502" s="16"/>
      <c r="P502" s="16"/>
      <c r="Q502" s="16"/>
      <c r="R502" s="16"/>
      <c r="S502" s="16"/>
      <c r="T502" s="16"/>
      <c r="U502" s="13"/>
      <c r="V502" s="16"/>
      <c r="W502" s="16"/>
      <c r="X502" s="16"/>
      <c r="Y502" s="8"/>
    </row>
    <row r="503" spans="1:25" ht="15.75" customHeight="1">
      <c r="A503" s="16"/>
      <c r="B503" s="16"/>
      <c r="C503" s="16"/>
      <c r="D503" s="16"/>
      <c r="E503" s="16"/>
      <c r="F503" s="16"/>
      <c r="G503" s="16"/>
      <c r="H503" s="16"/>
      <c r="I503" s="16"/>
      <c r="J503" s="16"/>
      <c r="K503" s="16"/>
      <c r="L503" s="16"/>
      <c r="M503" s="16"/>
      <c r="N503" s="16"/>
      <c r="O503" s="16"/>
      <c r="P503" s="16"/>
      <c r="Q503" s="16"/>
      <c r="R503" s="16"/>
      <c r="S503" s="16"/>
      <c r="T503" s="16"/>
      <c r="U503" s="13"/>
      <c r="V503" s="16"/>
      <c r="W503" s="16"/>
      <c r="X503" s="16"/>
      <c r="Y503" s="8"/>
    </row>
    <row r="504" spans="1:25" ht="15.75" customHeight="1">
      <c r="A504" s="16"/>
      <c r="B504" s="16"/>
      <c r="C504" s="16"/>
      <c r="D504" s="16"/>
      <c r="E504" s="16"/>
      <c r="F504" s="16"/>
      <c r="G504" s="16"/>
      <c r="H504" s="16"/>
      <c r="I504" s="16"/>
      <c r="J504" s="16"/>
      <c r="K504" s="16"/>
      <c r="L504" s="16"/>
      <c r="M504" s="16"/>
      <c r="N504" s="16"/>
      <c r="O504" s="16"/>
      <c r="P504" s="16"/>
      <c r="Q504" s="16"/>
      <c r="R504" s="16"/>
      <c r="S504" s="16"/>
      <c r="T504" s="16"/>
      <c r="U504" s="13"/>
      <c r="V504" s="16"/>
      <c r="W504" s="16"/>
      <c r="X504" s="16"/>
      <c r="Y504" s="8"/>
    </row>
    <row r="505" spans="1:25" ht="15.75" customHeight="1">
      <c r="A505" s="16"/>
      <c r="B505" s="16"/>
      <c r="C505" s="16"/>
      <c r="D505" s="16"/>
      <c r="E505" s="16"/>
      <c r="F505" s="16"/>
      <c r="G505" s="16"/>
      <c r="H505" s="16"/>
      <c r="I505" s="16"/>
      <c r="J505" s="16"/>
      <c r="K505" s="16"/>
      <c r="L505" s="16"/>
      <c r="M505" s="16"/>
      <c r="N505" s="16"/>
      <c r="O505" s="16"/>
      <c r="P505" s="16"/>
      <c r="Q505" s="16"/>
      <c r="R505" s="16"/>
      <c r="S505" s="16"/>
      <c r="T505" s="16"/>
      <c r="U505" s="13"/>
      <c r="V505" s="16"/>
      <c r="W505" s="16"/>
      <c r="X505" s="16"/>
      <c r="Y505" s="8"/>
    </row>
    <row r="506" spans="1:25" ht="15.75" customHeight="1">
      <c r="A506" s="16"/>
      <c r="B506" s="16"/>
      <c r="C506" s="16"/>
      <c r="D506" s="16"/>
      <c r="E506" s="16"/>
      <c r="F506" s="16"/>
      <c r="G506" s="16"/>
      <c r="H506" s="16"/>
      <c r="I506" s="16"/>
      <c r="J506" s="16"/>
      <c r="K506" s="16"/>
      <c r="L506" s="16"/>
      <c r="M506" s="16"/>
      <c r="N506" s="16"/>
      <c r="O506" s="16"/>
      <c r="P506" s="16"/>
      <c r="Q506" s="16"/>
      <c r="R506" s="16"/>
      <c r="S506" s="16"/>
      <c r="T506" s="16"/>
      <c r="U506" s="13"/>
      <c r="V506" s="16"/>
      <c r="W506" s="16"/>
      <c r="X506" s="16"/>
      <c r="Y506" s="8"/>
    </row>
    <row r="507" spans="1:25" ht="15.75" customHeight="1">
      <c r="A507" s="16"/>
      <c r="B507" s="16"/>
      <c r="C507" s="16"/>
      <c r="D507" s="16"/>
      <c r="E507" s="16"/>
      <c r="F507" s="16"/>
      <c r="G507" s="16"/>
      <c r="H507" s="16"/>
      <c r="I507" s="16"/>
      <c r="J507" s="16"/>
      <c r="K507" s="16"/>
      <c r="L507" s="16"/>
      <c r="M507" s="16"/>
      <c r="N507" s="16"/>
      <c r="O507" s="16"/>
      <c r="P507" s="16"/>
      <c r="Q507" s="16"/>
      <c r="R507" s="16"/>
      <c r="S507" s="16"/>
      <c r="T507" s="16"/>
      <c r="U507" s="13"/>
      <c r="V507" s="16"/>
      <c r="W507" s="16"/>
      <c r="X507" s="16"/>
      <c r="Y507" s="8"/>
    </row>
    <row r="508" spans="1:25" ht="15.75" customHeight="1">
      <c r="A508" s="16"/>
      <c r="B508" s="16"/>
      <c r="C508" s="16"/>
      <c r="D508" s="16"/>
      <c r="E508" s="16"/>
      <c r="F508" s="16"/>
      <c r="G508" s="16"/>
      <c r="H508" s="16"/>
      <c r="I508" s="16"/>
      <c r="J508" s="16"/>
      <c r="K508" s="16"/>
      <c r="L508" s="16"/>
      <c r="M508" s="16"/>
      <c r="N508" s="16"/>
      <c r="O508" s="16"/>
      <c r="P508" s="16"/>
      <c r="Q508" s="16"/>
      <c r="R508" s="16"/>
      <c r="S508" s="16"/>
      <c r="T508" s="16"/>
      <c r="U508" s="13"/>
      <c r="V508" s="16"/>
      <c r="W508" s="16"/>
      <c r="X508" s="16"/>
      <c r="Y508" s="8"/>
    </row>
    <row r="509" spans="1:25" ht="15.75" customHeight="1">
      <c r="A509" s="16"/>
      <c r="B509" s="16"/>
      <c r="C509" s="16"/>
      <c r="D509" s="16"/>
      <c r="E509" s="16"/>
      <c r="F509" s="16"/>
      <c r="G509" s="16"/>
      <c r="H509" s="16"/>
      <c r="I509" s="16"/>
      <c r="J509" s="16"/>
      <c r="K509" s="16"/>
      <c r="L509" s="16"/>
      <c r="M509" s="16"/>
      <c r="N509" s="16"/>
      <c r="O509" s="16"/>
      <c r="P509" s="16"/>
      <c r="Q509" s="16"/>
      <c r="R509" s="16"/>
      <c r="S509" s="16"/>
      <c r="T509" s="16"/>
      <c r="U509" s="13"/>
      <c r="V509" s="16"/>
      <c r="W509" s="16"/>
      <c r="X509" s="16"/>
      <c r="Y509" s="8"/>
    </row>
    <row r="510" spans="1:25" ht="15.75" customHeight="1">
      <c r="A510" s="16"/>
      <c r="B510" s="16"/>
      <c r="C510" s="16"/>
      <c r="D510" s="16"/>
      <c r="E510" s="16"/>
      <c r="F510" s="16"/>
      <c r="G510" s="16"/>
      <c r="H510" s="16"/>
      <c r="I510" s="16"/>
      <c r="J510" s="16"/>
      <c r="K510" s="16"/>
      <c r="L510" s="16"/>
      <c r="M510" s="16"/>
      <c r="N510" s="16"/>
      <c r="O510" s="16"/>
      <c r="P510" s="16"/>
      <c r="Q510" s="16"/>
      <c r="R510" s="16"/>
      <c r="S510" s="16"/>
      <c r="T510" s="16"/>
      <c r="U510" s="13"/>
      <c r="V510" s="16"/>
      <c r="W510" s="16"/>
      <c r="X510" s="16"/>
      <c r="Y510" s="8"/>
    </row>
    <row r="511" spans="1:25" ht="15.75" customHeight="1">
      <c r="A511" s="16"/>
      <c r="B511" s="16"/>
      <c r="C511" s="16"/>
      <c r="D511" s="16"/>
      <c r="E511" s="16"/>
      <c r="F511" s="16"/>
      <c r="G511" s="16"/>
      <c r="H511" s="16"/>
      <c r="I511" s="16"/>
      <c r="J511" s="16"/>
      <c r="K511" s="16"/>
      <c r="L511" s="16"/>
      <c r="M511" s="16"/>
      <c r="N511" s="16"/>
      <c r="O511" s="16"/>
      <c r="P511" s="16"/>
      <c r="Q511" s="16"/>
      <c r="R511" s="16"/>
      <c r="S511" s="16"/>
      <c r="T511" s="16"/>
      <c r="U511" s="13"/>
      <c r="V511" s="16"/>
      <c r="W511" s="16"/>
      <c r="X511" s="16"/>
      <c r="Y511" s="8"/>
    </row>
    <row r="512" spans="1:25" ht="15.75" customHeight="1">
      <c r="A512" s="16"/>
      <c r="B512" s="16"/>
      <c r="C512" s="16"/>
      <c r="D512" s="16"/>
      <c r="E512" s="16"/>
      <c r="F512" s="16"/>
      <c r="G512" s="16"/>
      <c r="H512" s="16"/>
      <c r="I512" s="16"/>
      <c r="J512" s="16"/>
      <c r="K512" s="16"/>
      <c r="L512" s="16"/>
      <c r="M512" s="16"/>
      <c r="N512" s="16"/>
      <c r="O512" s="16"/>
      <c r="P512" s="16"/>
      <c r="Q512" s="16"/>
      <c r="R512" s="16"/>
      <c r="S512" s="16"/>
      <c r="T512" s="16"/>
      <c r="U512" s="13"/>
      <c r="V512" s="16"/>
      <c r="W512" s="16"/>
      <c r="X512" s="16"/>
      <c r="Y512" s="8"/>
    </row>
    <row r="513" spans="1:25" ht="15.75" customHeight="1">
      <c r="A513" s="16"/>
      <c r="B513" s="16"/>
      <c r="C513" s="16"/>
      <c r="D513" s="16"/>
      <c r="E513" s="16"/>
      <c r="F513" s="16"/>
      <c r="G513" s="16"/>
      <c r="H513" s="16"/>
      <c r="I513" s="16"/>
      <c r="J513" s="16"/>
      <c r="K513" s="16"/>
      <c r="L513" s="16"/>
      <c r="M513" s="16"/>
      <c r="N513" s="16"/>
      <c r="O513" s="16"/>
      <c r="P513" s="16"/>
      <c r="Q513" s="16"/>
      <c r="R513" s="16"/>
      <c r="S513" s="16"/>
      <c r="T513" s="16"/>
      <c r="U513" s="13"/>
      <c r="V513" s="16"/>
      <c r="W513" s="16"/>
      <c r="X513" s="16"/>
      <c r="Y513" s="8"/>
    </row>
    <row r="514" spans="1:25" ht="15.75" customHeight="1">
      <c r="A514" s="16"/>
      <c r="B514" s="16"/>
      <c r="C514" s="16"/>
      <c r="D514" s="16"/>
      <c r="E514" s="16"/>
      <c r="F514" s="16"/>
      <c r="G514" s="16"/>
      <c r="H514" s="16"/>
      <c r="I514" s="16"/>
      <c r="J514" s="16"/>
      <c r="K514" s="16"/>
      <c r="L514" s="16"/>
      <c r="M514" s="16"/>
      <c r="N514" s="16"/>
      <c r="O514" s="16"/>
      <c r="P514" s="16"/>
      <c r="Q514" s="16"/>
      <c r="R514" s="16"/>
      <c r="S514" s="16"/>
      <c r="T514" s="16"/>
      <c r="U514" s="13"/>
      <c r="V514" s="16"/>
      <c r="W514" s="16"/>
      <c r="X514" s="16"/>
      <c r="Y514" s="8"/>
    </row>
    <row r="515" spans="1:25" ht="15.75" customHeight="1">
      <c r="A515" s="16"/>
      <c r="B515" s="16"/>
      <c r="C515" s="16"/>
      <c r="D515" s="16"/>
      <c r="E515" s="16"/>
      <c r="F515" s="16"/>
      <c r="G515" s="16"/>
      <c r="H515" s="16"/>
      <c r="I515" s="16"/>
      <c r="J515" s="16"/>
      <c r="K515" s="16"/>
      <c r="L515" s="16"/>
      <c r="M515" s="16"/>
      <c r="N515" s="16"/>
      <c r="O515" s="16"/>
      <c r="P515" s="16"/>
      <c r="Q515" s="16"/>
      <c r="R515" s="16"/>
      <c r="S515" s="16"/>
      <c r="T515" s="16"/>
      <c r="U515" s="13"/>
      <c r="V515" s="16"/>
      <c r="W515" s="16"/>
      <c r="X515" s="16"/>
      <c r="Y515" s="8"/>
    </row>
    <row r="516" spans="1:25" ht="15.75" customHeight="1">
      <c r="A516" s="16"/>
      <c r="B516" s="16"/>
      <c r="C516" s="16"/>
      <c r="D516" s="16"/>
      <c r="E516" s="16"/>
      <c r="F516" s="16"/>
      <c r="G516" s="16"/>
      <c r="H516" s="16"/>
      <c r="I516" s="16"/>
      <c r="J516" s="16"/>
      <c r="K516" s="16"/>
      <c r="L516" s="16"/>
      <c r="M516" s="16"/>
      <c r="N516" s="16"/>
      <c r="O516" s="16"/>
      <c r="P516" s="16"/>
      <c r="Q516" s="16"/>
      <c r="R516" s="16"/>
      <c r="S516" s="16"/>
      <c r="T516" s="16"/>
      <c r="U516" s="13"/>
      <c r="V516" s="16"/>
      <c r="W516" s="16"/>
      <c r="X516" s="16"/>
      <c r="Y516" s="8"/>
    </row>
    <row r="517" spans="1:25" ht="15.75" customHeight="1">
      <c r="A517" s="16"/>
      <c r="B517" s="16"/>
      <c r="C517" s="16"/>
      <c r="D517" s="16"/>
      <c r="E517" s="16"/>
      <c r="F517" s="16"/>
      <c r="G517" s="16"/>
      <c r="H517" s="16"/>
      <c r="I517" s="16"/>
      <c r="J517" s="16"/>
      <c r="K517" s="16"/>
      <c r="L517" s="16"/>
      <c r="M517" s="16"/>
      <c r="N517" s="16"/>
      <c r="O517" s="16"/>
      <c r="P517" s="16"/>
      <c r="Q517" s="16"/>
      <c r="R517" s="16"/>
      <c r="S517" s="16"/>
      <c r="T517" s="16"/>
      <c r="U517" s="13"/>
      <c r="V517" s="16"/>
      <c r="W517" s="16"/>
      <c r="X517" s="16"/>
      <c r="Y517" s="8"/>
    </row>
    <row r="518" spans="1:25" ht="15.75" customHeight="1">
      <c r="A518" s="16"/>
      <c r="B518" s="16"/>
      <c r="C518" s="16"/>
      <c r="D518" s="16"/>
      <c r="E518" s="16"/>
      <c r="F518" s="16"/>
      <c r="G518" s="16"/>
      <c r="H518" s="16"/>
      <c r="I518" s="16"/>
      <c r="J518" s="16"/>
      <c r="K518" s="16"/>
      <c r="L518" s="16"/>
      <c r="M518" s="16"/>
      <c r="N518" s="16"/>
      <c r="O518" s="16"/>
      <c r="P518" s="16"/>
      <c r="Q518" s="16"/>
      <c r="R518" s="16"/>
      <c r="S518" s="16"/>
      <c r="T518" s="16"/>
      <c r="U518" s="13"/>
      <c r="V518" s="16"/>
      <c r="W518" s="16"/>
      <c r="X518" s="16"/>
      <c r="Y518" s="8"/>
    </row>
    <row r="519" spans="1:25" ht="15.75" customHeight="1">
      <c r="A519" s="16"/>
      <c r="B519" s="16"/>
      <c r="C519" s="16"/>
      <c r="D519" s="16"/>
      <c r="E519" s="16"/>
      <c r="F519" s="16"/>
      <c r="G519" s="16"/>
      <c r="H519" s="16"/>
      <c r="I519" s="16"/>
      <c r="J519" s="16"/>
      <c r="K519" s="16"/>
      <c r="L519" s="16"/>
      <c r="M519" s="16"/>
      <c r="N519" s="16"/>
      <c r="O519" s="16"/>
      <c r="P519" s="16"/>
      <c r="Q519" s="16"/>
      <c r="R519" s="16"/>
      <c r="S519" s="16"/>
      <c r="T519" s="16"/>
      <c r="U519" s="13"/>
      <c r="V519" s="16"/>
      <c r="W519" s="16"/>
      <c r="X519" s="16"/>
      <c r="Y519" s="8"/>
    </row>
    <row r="520" spans="1:25" ht="15.75" customHeight="1">
      <c r="A520" s="16"/>
      <c r="B520" s="16"/>
      <c r="C520" s="16"/>
      <c r="D520" s="16"/>
      <c r="E520" s="16"/>
      <c r="F520" s="16"/>
      <c r="G520" s="16"/>
      <c r="H520" s="16"/>
      <c r="I520" s="16"/>
      <c r="J520" s="16"/>
      <c r="K520" s="16"/>
      <c r="L520" s="16"/>
      <c r="M520" s="16"/>
      <c r="N520" s="16"/>
      <c r="O520" s="16"/>
      <c r="P520" s="16"/>
      <c r="Q520" s="16"/>
      <c r="R520" s="16"/>
      <c r="S520" s="16"/>
      <c r="T520" s="16"/>
      <c r="U520" s="13"/>
      <c r="V520" s="16"/>
      <c r="W520" s="16"/>
      <c r="X520" s="16"/>
      <c r="Y520" s="8"/>
    </row>
    <row r="521" spans="1:25" ht="15.75" customHeight="1">
      <c r="A521" s="16"/>
      <c r="B521" s="16"/>
      <c r="C521" s="16"/>
      <c r="D521" s="16"/>
      <c r="E521" s="16"/>
      <c r="F521" s="16"/>
      <c r="G521" s="16"/>
      <c r="H521" s="16"/>
      <c r="I521" s="16"/>
      <c r="J521" s="16"/>
      <c r="K521" s="16"/>
      <c r="L521" s="16"/>
      <c r="M521" s="16"/>
      <c r="N521" s="16"/>
      <c r="O521" s="16"/>
      <c r="P521" s="16"/>
      <c r="Q521" s="16"/>
      <c r="R521" s="16"/>
      <c r="S521" s="16"/>
      <c r="T521" s="16"/>
      <c r="U521" s="13"/>
      <c r="V521" s="16"/>
      <c r="W521" s="16"/>
      <c r="X521" s="16"/>
      <c r="Y521" s="8"/>
    </row>
    <row r="522" spans="1:25" ht="15.75" customHeight="1">
      <c r="A522" s="16"/>
      <c r="B522" s="16"/>
      <c r="C522" s="16"/>
      <c r="D522" s="16"/>
      <c r="E522" s="16"/>
      <c r="F522" s="16"/>
      <c r="G522" s="16"/>
      <c r="H522" s="16"/>
      <c r="I522" s="16"/>
      <c r="J522" s="16"/>
      <c r="K522" s="16"/>
      <c r="L522" s="16"/>
      <c r="M522" s="16"/>
      <c r="N522" s="16"/>
      <c r="O522" s="16"/>
      <c r="P522" s="16"/>
      <c r="Q522" s="16"/>
      <c r="R522" s="16"/>
      <c r="S522" s="16"/>
      <c r="T522" s="16"/>
      <c r="U522" s="13"/>
      <c r="V522" s="16"/>
      <c r="W522" s="16"/>
      <c r="X522" s="16"/>
      <c r="Y522" s="8"/>
    </row>
    <row r="523" spans="1:25" ht="15.75" customHeight="1">
      <c r="A523" s="16"/>
      <c r="B523" s="16"/>
      <c r="C523" s="16"/>
      <c r="D523" s="16"/>
      <c r="E523" s="16"/>
      <c r="F523" s="16"/>
      <c r="G523" s="16"/>
      <c r="H523" s="16"/>
      <c r="I523" s="16"/>
      <c r="J523" s="16"/>
      <c r="K523" s="16"/>
      <c r="L523" s="16"/>
      <c r="M523" s="16"/>
      <c r="N523" s="16"/>
      <c r="O523" s="16"/>
      <c r="P523" s="16"/>
      <c r="Q523" s="16"/>
      <c r="R523" s="16"/>
      <c r="S523" s="16"/>
      <c r="T523" s="16"/>
      <c r="U523" s="13"/>
      <c r="V523" s="16"/>
      <c r="W523" s="16"/>
      <c r="X523" s="16"/>
      <c r="Y523" s="8"/>
    </row>
    <row r="524" spans="1:25" ht="15.75" customHeight="1">
      <c r="A524" s="16"/>
      <c r="B524" s="16"/>
      <c r="C524" s="16"/>
      <c r="D524" s="16"/>
      <c r="E524" s="16"/>
      <c r="F524" s="16"/>
      <c r="G524" s="16"/>
      <c r="H524" s="16"/>
      <c r="I524" s="16"/>
      <c r="J524" s="16"/>
      <c r="K524" s="16"/>
      <c r="L524" s="16"/>
      <c r="M524" s="16"/>
      <c r="N524" s="16"/>
      <c r="O524" s="16"/>
      <c r="P524" s="16"/>
      <c r="Q524" s="16"/>
      <c r="R524" s="16"/>
      <c r="S524" s="16"/>
      <c r="T524" s="16"/>
      <c r="U524" s="13"/>
      <c r="V524" s="16"/>
      <c r="W524" s="16"/>
      <c r="X524" s="16"/>
      <c r="Y524" s="8"/>
    </row>
    <row r="525" spans="1:25" ht="15.75" customHeight="1">
      <c r="A525" s="16"/>
      <c r="B525" s="16"/>
      <c r="C525" s="16"/>
      <c r="D525" s="16"/>
      <c r="E525" s="16"/>
      <c r="F525" s="16"/>
      <c r="G525" s="16"/>
      <c r="H525" s="16"/>
      <c r="I525" s="16"/>
      <c r="J525" s="16"/>
      <c r="K525" s="16"/>
      <c r="L525" s="16"/>
      <c r="M525" s="16"/>
      <c r="N525" s="16"/>
      <c r="O525" s="16"/>
      <c r="P525" s="16"/>
      <c r="Q525" s="16"/>
      <c r="R525" s="16"/>
      <c r="S525" s="16"/>
      <c r="T525" s="16"/>
      <c r="U525" s="13"/>
      <c r="V525" s="16"/>
      <c r="W525" s="16"/>
      <c r="X525" s="16"/>
      <c r="Y525" s="8"/>
    </row>
    <row r="526" spans="1:25" ht="15.75" customHeight="1">
      <c r="A526" s="16"/>
      <c r="B526" s="16"/>
      <c r="C526" s="16"/>
      <c r="D526" s="16"/>
      <c r="E526" s="16"/>
      <c r="F526" s="16"/>
      <c r="G526" s="16"/>
      <c r="H526" s="16"/>
      <c r="I526" s="16"/>
      <c r="J526" s="16"/>
      <c r="K526" s="16"/>
      <c r="L526" s="16"/>
      <c r="M526" s="16"/>
      <c r="N526" s="16"/>
      <c r="O526" s="16"/>
      <c r="P526" s="16"/>
      <c r="Q526" s="16"/>
      <c r="R526" s="16"/>
      <c r="S526" s="16"/>
      <c r="T526" s="16"/>
      <c r="U526" s="13"/>
      <c r="V526" s="16"/>
      <c r="W526" s="16"/>
      <c r="X526" s="16"/>
      <c r="Y526" s="8"/>
    </row>
    <row r="527" spans="1:25" ht="15.75" customHeight="1">
      <c r="A527" s="16"/>
      <c r="B527" s="16"/>
      <c r="C527" s="16"/>
      <c r="D527" s="16"/>
      <c r="E527" s="16"/>
      <c r="F527" s="16"/>
      <c r="G527" s="16"/>
      <c r="H527" s="16"/>
      <c r="I527" s="16"/>
      <c r="J527" s="16"/>
      <c r="K527" s="16"/>
      <c r="L527" s="16"/>
      <c r="M527" s="16"/>
      <c r="N527" s="16"/>
      <c r="O527" s="16"/>
      <c r="P527" s="16"/>
      <c r="Q527" s="16"/>
      <c r="R527" s="16"/>
      <c r="S527" s="16"/>
      <c r="T527" s="16"/>
      <c r="U527" s="13"/>
      <c r="V527" s="16"/>
      <c r="W527" s="16"/>
      <c r="X527" s="16"/>
      <c r="Y527" s="8"/>
    </row>
    <row r="528" spans="1:25" ht="15.75" customHeight="1">
      <c r="A528" s="16"/>
      <c r="B528" s="16"/>
      <c r="C528" s="16"/>
      <c r="D528" s="16"/>
      <c r="E528" s="16"/>
      <c r="F528" s="16"/>
      <c r="G528" s="16"/>
      <c r="H528" s="16"/>
      <c r="I528" s="16"/>
      <c r="J528" s="16"/>
      <c r="K528" s="16"/>
      <c r="L528" s="16"/>
      <c r="M528" s="16"/>
      <c r="N528" s="16"/>
      <c r="O528" s="16"/>
      <c r="P528" s="16"/>
      <c r="Q528" s="16"/>
      <c r="R528" s="16"/>
      <c r="S528" s="16"/>
      <c r="T528" s="16"/>
      <c r="U528" s="13"/>
      <c r="V528" s="16"/>
      <c r="W528" s="16"/>
      <c r="X528" s="16"/>
      <c r="Y528" s="8"/>
    </row>
    <row r="529" spans="1:25" ht="15.75" customHeight="1">
      <c r="A529" s="16"/>
      <c r="B529" s="16"/>
      <c r="C529" s="16"/>
      <c r="D529" s="16"/>
      <c r="E529" s="16"/>
      <c r="F529" s="16"/>
      <c r="G529" s="16"/>
      <c r="H529" s="16"/>
      <c r="I529" s="16"/>
      <c r="J529" s="16"/>
      <c r="K529" s="16"/>
      <c r="L529" s="16"/>
      <c r="M529" s="16"/>
      <c r="N529" s="16"/>
      <c r="O529" s="16"/>
      <c r="P529" s="16"/>
      <c r="Q529" s="16"/>
      <c r="R529" s="16"/>
      <c r="S529" s="16"/>
      <c r="T529" s="16"/>
      <c r="U529" s="13"/>
      <c r="V529" s="16"/>
      <c r="W529" s="16"/>
      <c r="X529" s="16"/>
      <c r="Y529" s="8"/>
    </row>
    <row r="530" spans="1:25" ht="15.75" customHeight="1">
      <c r="A530" s="16"/>
      <c r="B530" s="16"/>
      <c r="C530" s="16"/>
      <c r="D530" s="16"/>
      <c r="E530" s="16"/>
      <c r="F530" s="16"/>
      <c r="G530" s="16"/>
      <c r="H530" s="16"/>
      <c r="I530" s="16"/>
      <c r="J530" s="16"/>
      <c r="K530" s="16"/>
      <c r="L530" s="16"/>
      <c r="M530" s="16"/>
      <c r="N530" s="16"/>
      <c r="O530" s="16"/>
      <c r="P530" s="16"/>
      <c r="Q530" s="16"/>
      <c r="R530" s="16"/>
      <c r="S530" s="16"/>
      <c r="T530" s="16"/>
      <c r="U530" s="13"/>
      <c r="V530" s="16"/>
      <c r="W530" s="16"/>
      <c r="X530" s="16"/>
      <c r="Y530" s="8"/>
    </row>
    <row r="531" spans="1:25" ht="15.75" customHeight="1">
      <c r="A531" s="16"/>
      <c r="B531" s="16"/>
      <c r="C531" s="16"/>
      <c r="D531" s="16"/>
      <c r="E531" s="16"/>
      <c r="F531" s="16"/>
      <c r="G531" s="16"/>
      <c r="H531" s="16"/>
      <c r="I531" s="16"/>
      <c r="J531" s="16"/>
      <c r="K531" s="16"/>
      <c r="L531" s="16"/>
      <c r="M531" s="16"/>
      <c r="N531" s="16"/>
      <c r="O531" s="16"/>
      <c r="P531" s="16"/>
      <c r="Q531" s="16"/>
      <c r="R531" s="16"/>
      <c r="S531" s="16"/>
      <c r="T531" s="16"/>
      <c r="U531" s="13"/>
      <c r="V531" s="16"/>
      <c r="W531" s="16"/>
      <c r="X531" s="16"/>
      <c r="Y531" s="8"/>
    </row>
    <row r="532" spans="1:25" ht="15.75" customHeight="1">
      <c r="A532" s="16"/>
      <c r="B532" s="16"/>
      <c r="C532" s="16"/>
      <c r="D532" s="16"/>
      <c r="E532" s="16"/>
      <c r="F532" s="16"/>
      <c r="G532" s="16"/>
      <c r="H532" s="16"/>
      <c r="I532" s="16"/>
      <c r="J532" s="16"/>
      <c r="K532" s="16"/>
      <c r="L532" s="16"/>
      <c r="M532" s="16"/>
      <c r="N532" s="16"/>
      <c r="O532" s="16"/>
      <c r="P532" s="16"/>
      <c r="Q532" s="16"/>
      <c r="R532" s="16"/>
      <c r="S532" s="16"/>
      <c r="T532" s="16"/>
      <c r="U532" s="13"/>
      <c r="V532" s="16"/>
      <c r="W532" s="16"/>
      <c r="X532" s="16"/>
      <c r="Y532" s="8"/>
    </row>
    <row r="533" spans="1:25" ht="15.75" customHeight="1">
      <c r="A533" s="16"/>
      <c r="B533" s="16"/>
      <c r="C533" s="16"/>
      <c r="D533" s="16"/>
      <c r="E533" s="16"/>
      <c r="F533" s="16"/>
      <c r="G533" s="16"/>
      <c r="H533" s="16"/>
      <c r="I533" s="16"/>
      <c r="J533" s="16"/>
      <c r="K533" s="16"/>
      <c r="L533" s="16"/>
      <c r="M533" s="16"/>
      <c r="N533" s="16"/>
      <c r="O533" s="16"/>
      <c r="P533" s="16"/>
      <c r="Q533" s="16"/>
      <c r="R533" s="16"/>
      <c r="S533" s="16"/>
      <c r="T533" s="16"/>
      <c r="U533" s="13"/>
      <c r="V533" s="16"/>
      <c r="W533" s="16"/>
      <c r="X533" s="16"/>
      <c r="Y533" s="8"/>
    </row>
    <row r="534" spans="1:25" ht="15.75" customHeight="1">
      <c r="A534" s="16"/>
      <c r="B534" s="16"/>
      <c r="C534" s="16"/>
      <c r="D534" s="16"/>
      <c r="E534" s="16"/>
      <c r="F534" s="16"/>
      <c r="G534" s="16"/>
      <c r="H534" s="16"/>
      <c r="I534" s="16"/>
      <c r="J534" s="16"/>
      <c r="K534" s="16"/>
      <c r="L534" s="16"/>
      <c r="M534" s="16"/>
      <c r="N534" s="16"/>
      <c r="O534" s="16"/>
      <c r="P534" s="16"/>
      <c r="Q534" s="16"/>
      <c r="R534" s="16"/>
      <c r="S534" s="16"/>
      <c r="T534" s="16"/>
      <c r="U534" s="13"/>
      <c r="V534" s="16"/>
      <c r="W534" s="16"/>
      <c r="X534" s="16"/>
      <c r="Y534" s="8"/>
    </row>
    <row r="535" spans="1:25" ht="15.75" customHeight="1">
      <c r="A535" s="16"/>
      <c r="B535" s="16"/>
      <c r="C535" s="16"/>
      <c r="D535" s="16"/>
      <c r="E535" s="16"/>
      <c r="F535" s="16"/>
      <c r="G535" s="16"/>
      <c r="H535" s="16"/>
      <c r="I535" s="16"/>
      <c r="J535" s="16"/>
      <c r="K535" s="16"/>
      <c r="L535" s="16"/>
      <c r="M535" s="16"/>
      <c r="N535" s="16"/>
      <c r="O535" s="16"/>
      <c r="P535" s="16"/>
      <c r="Q535" s="16"/>
      <c r="R535" s="16"/>
      <c r="S535" s="16"/>
      <c r="T535" s="16"/>
      <c r="U535" s="13"/>
      <c r="V535" s="16"/>
      <c r="W535" s="16"/>
      <c r="X535" s="16"/>
      <c r="Y535" s="8"/>
    </row>
    <row r="536" spans="1:25" ht="15.75" customHeight="1">
      <c r="A536" s="16"/>
      <c r="B536" s="16"/>
      <c r="C536" s="16"/>
      <c r="D536" s="16"/>
      <c r="E536" s="16"/>
      <c r="F536" s="16"/>
      <c r="G536" s="16"/>
      <c r="H536" s="16"/>
      <c r="I536" s="16"/>
      <c r="J536" s="16"/>
      <c r="K536" s="16"/>
      <c r="L536" s="16"/>
      <c r="M536" s="16"/>
      <c r="N536" s="16"/>
      <c r="O536" s="16"/>
      <c r="P536" s="16"/>
      <c r="Q536" s="16"/>
      <c r="R536" s="16"/>
      <c r="S536" s="16"/>
      <c r="T536" s="16"/>
      <c r="U536" s="13"/>
      <c r="V536" s="16"/>
      <c r="W536" s="16"/>
      <c r="X536" s="16"/>
      <c r="Y536" s="8"/>
    </row>
    <row r="537" spans="1:25" ht="15.75" customHeight="1">
      <c r="A537" s="16"/>
      <c r="B537" s="16"/>
      <c r="C537" s="16"/>
      <c r="D537" s="16"/>
      <c r="E537" s="16"/>
      <c r="F537" s="16"/>
      <c r="G537" s="16"/>
      <c r="H537" s="16"/>
      <c r="I537" s="16"/>
      <c r="J537" s="16"/>
      <c r="K537" s="16"/>
      <c r="L537" s="16"/>
      <c r="M537" s="16"/>
      <c r="N537" s="16"/>
      <c r="O537" s="16"/>
      <c r="P537" s="16"/>
      <c r="Q537" s="16"/>
      <c r="R537" s="16"/>
      <c r="S537" s="16"/>
      <c r="T537" s="16"/>
      <c r="U537" s="13"/>
      <c r="V537" s="16"/>
      <c r="W537" s="16"/>
      <c r="X537" s="16"/>
      <c r="Y537" s="8"/>
    </row>
    <row r="538" spans="1:25" ht="15.75" customHeight="1">
      <c r="A538" s="16"/>
      <c r="B538" s="16"/>
      <c r="C538" s="16"/>
      <c r="D538" s="16"/>
      <c r="E538" s="16"/>
      <c r="F538" s="16"/>
      <c r="G538" s="16"/>
      <c r="H538" s="16"/>
      <c r="I538" s="16"/>
      <c r="J538" s="16"/>
      <c r="K538" s="16"/>
      <c r="L538" s="16"/>
      <c r="M538" s="16"/>
      <c r="N538" s="16"/>
      <c r="O538" s="16"/>
      <c r="P538" s="16"/>
      <c r="Q538" s="16"/>
      <c r="R538" s="16"/>
      <c r="S538" s="16"/>
      <c r="T538" s="16"/>
      <c r="U538" s="13"/>
      <c r="V538" s="16"/>
      <c r="W538" s="16"/>
      <c r="X538" s="16"/>
      <c r="Y538" s="8"/>
    </row>
    <row r="539" spans="1:25" ht="15.75" customHeight="1">
      <c r="A539" s="16"/>
      <c r="B539" s="16"/>
      <c r="C539" s="16"/>
      <c r="D539" s="16"/>
      <c r="E539" s="16"/>
      <c r="F539" s="16"/>
      <c r="G539" s="16"/>
      <c r="H539" s="16"/>
      <c r="I539" s="16"/>
      <c r="J539" s="16"/>
      <c r="K539" s="16"/>
      <c r="L539" s="16"/>
      <c r="M539" s="16"/>
      <c r="N539" s="16"/>
      <c r="O539" s="16"/>
      <c r="P539" s="16"/>
      <c r="Q539" s="16"/>
      <c r="R539" s="16"/>
      <c r="S539" s="16"/>
      <c r="T539" s="16"/>
      <c r="U539" s="13"/>
      <c r="V539" s="16"/>
      <c r="W539" s="16"/>
      <c r="X539" s="16"/>
      <c r="Y539" s="8"/>
    </row>
    <row r="540" spans="1:25" ht="15.75" customHeight="1">
      <c r="A540" s="16"/>
      <c r="B540" s="16"/>
      <c r="C540" s="16"/>
      <c r="D540" s="16"/>
      <c r="E540" s="16"/>
      <c r="F540" s="16"/>
      <c r="G540" s="16"/>
      <c r="H540" s="16"/>
      <c r="I540" s="16"/>
      <c r="J540" s="16"/>
      <c r="K540" s="16"/>
      <c r="L540" s="16"/>
      <c r="M540" s="16"/>
      <c r="N540" s="16"/>
      <c r="O540" s="16"/>
      <c r="P540" s="16"/>
      <c r="Q540" s="16"/>
      <c r="R540" s="16"/>
      <c r="S540" s="16"/>
      <c r="T540" s="16"/>
      <c r="U540" s="13"/>
      <c r="V540" s="16"/>
      <c r="W540" s="16"/>
      <c r="X540" s="16"/>
      <c r="Y540" s="8"/>
    </row>
    <row r="541" spans="1:25" ht="15.75" customHeight="1">
      <c r="A541" s="16"/>
      <c r="B541" s="16"/>
      <c r="C541" s="16"/>
      <c r="D541" s="16"/>
      <c r="E541" s="16"/>
      <c r="F541" s="16"/>
      <c r="G541" s="16"/>
      <c r="H541" s="16"/>
      <c r="I541" s="16"/>
      <c r="J541" s="16"/>
      <c r="K541" s="16"/>
      <c r="L541" s="16"/>
      <c r="M541" s="16"/>
      <c r="N541" s="16"/>
      <c r="O541" s="16"/>
      <c r="P541" s="16"/>
      <c r="Q541" s="16"/>
      <c r="R541" s="16"/>
      <c r="S541" s="16"/>
      <c r="T541" s="16"/>
      <c r="U541" s="13"/>
      <c r="V541" s="16"/>
      <c r="W541" s="16"/>
      <c r="X541" s="16"/>
      <c r="Y541" s="8"/>
    </row>
    <row r="542" spans="1:25" ht="15.75" customHeight="1">
      <c r="A542" s="16"/>
      <c r="B542" s="16"/>
      <c r="C542" s="16"/>
      <c r="D542" s="16"/>
      <c r="E542" s="16"/>
      <c r="F542" s="16"/>
      <c r="G542" s="16"/>
      <c r="H542" s="16"/>
      <c r="I542" s="16"/>
      <c r="J542" s="16"/>
      <c r="K542" s="16"/>
      <c r="L542" s="16"/>
      <c r="M542" s="16"/>
      <c r="N542" s="16"/>
      <c r="O542" s="16"/>
      <c r="P542" s="16"/>
      <c r="Q542" s="16"/>
      <c r="R542" s="16"/>
      <c r="S542" s="16"/>
      <c r="T542" s="16"/>
      <c r="U542" s="13"/>
      <c r="V542" s="16"/>
      <c r="W542" s="16"/>
      <c r="X542" s="16"/>
      <c r="Y542" s="8"/>
    </row>
    <row r="543" spans="1:25" ht="15.75" customHeight="1">
      <c r="A543" s="16"/>
      <c r="B543" s="16"/>
      <c r="C543" s="16"/>
      <c r="D543" s="16"/>
      <c r="E543" s="16"/>
      <c r="F543" s="16"/>
      <c r="G543" s="16"/>
      <c r="H543" s="16"/>
      <c r="I543" s="16"/>
      <c r="J543" s="16"/>
      <c r="K543" s="16"/>
      <c r="L543" s="16"/>
      <c r="M543" s="16"/>
      <c r="N543" s="16"/>
      <c r="O543" s="16"/>
      <c r="P543" s="16"/>
      <c r="Q543" s="16"/>
      <c r="R543" s="16"/>
      <c r="S543" s="16"/>
      <c r="T543" s="16"/>
      <c r="U543" s="13"/>
      <c r="V543" s="16"/>
      <c r="W543" s="16"/>
      <c r="X543" s="16"/>
      <c r="Y543" s="8"/>
    </row>
    <row r="544" spans="1:25" ht="15.75" customHeight="1">
      <c r="A544" s="16"/>
      <c r="B544" s="16"/>
      <c r="C544" s="16"/>
      <c r="D544" s="16"/>
      <c r="E544" s="16"/>
      <c r="F544" s="16"/>
      <c r="G544" s="16"/>
      <c r="H544" s="16"/>
      <c r="I544" s="16"/>
      <c r="J544" s="16"/>
      <c r="K544" s="16"/>
      <c r="L544" s="16"/>
      <c r="M544" s="16"/>
      <c r="N544" s="16"/>
      <c r="O544" s="16"/>
      <c r="P544" s="16"/>
      <c r="Q544" s="16"/>
      <c r="R544" s="16"/>
      <c r="S544" s="16"/>
      <c r="T544" s="16"/>
      <c r="U544" s="13"/>
      <c r="V544" s="16"/>
      <c r="W544" s="16"/>
      <c r="X544" s="16"/>
      <c r="Y544" s="8"/>
    </row>
    <row r="545" spans="1:25" ht="15.75" customHeight="1">
      <c r="A545" s="16"/>
      <c r="B545" s="16"/>
      <c r="C545" s="16"/>
      <c r="D545" s="16"/>
      <c r="E545" s="16"/>
      <c r="F545" s="16"/>
      <c r="G545" s="16"/>
      <c r="H545" s="16"/>
      <c r="I545" s="16"/>
      <c r="J545" s="16"/>
      <c r="K545" s="16"/>
      <c r="L545" s="16"/>
      <c r="M545" s="16"/>
      <c r="N545" s="16"/>
      <c r="O545" s="16"/>
      <c r="P545" s="16"/>
      <c r="Q545" s="16"/>
      <c r="R545" s="16"/>
      <c r="S545" s="16"/>
      <c r="T545" s="16"/>
      <c r="U545" s="13"/>
      <c r="V545" s="16"/>
      <c r="W545" s="16"/>
      <c r="X545" s="16"/>
      <c r="Y545" s="8"/>
    </row>
    <row r="546" spans="1:25" ht="15.75" customHeight="1">
      <c r="A546" s="16"/>
      <c r="B546" s="16"/>
      <c r="C546" s="16"/>
      <c r="D546" s="16"/>
      <c r="E546" s="16"/>
      <c r="F546" s="16"/>
      <c r="G546" s="16"/>
      <c r="H546" s="16"/>
      <c r="I546" s="16"/>
      <c r="J546" s="16"/>
      <c r="K546" s="16"/>
      <c r="L546" s="16"/>
      <c r="M546" s="16"/>
      <c r="N546" s="16"/>
      <c r="O546" s="16"/>
      <c r="P546" s="16"/>
      <c r="Q546" s="16"/>
      <c r="R546" s="16"/>
      <c r="S546" s="16"/>
      <c r="T546" s="16"/>
      <c r="U546" s="13"/>
      <c r="V546" s="16"/>
      <c r="W546" s="16"/>
      <c r="X546" s="16"/>
      <c r="Y546" s="8"/>
    </row>
    <row r="547" spans="1:25" ht="15.75" customHeight="1">
      <c r="A547" s="16"/>
      <c r="B547" s="16"/>
      <c r="C547" s="16"/>
      <c r="D547" s="16"/>
      <c r="E547" s="16"/>
      <c r="F547" s="16"/>
      <c r="G547" s="16"/>
      <c r="H547" s="16"/>
      <c r="I547" s="16"/>
      <c r="J547" s="16"/>
      <c r="K547" s="16"/>
      <c r="L547" s="16"/>
      <c r="M547" s="16"/>
      <c r="N547" s="16"/>
      <c r="O547" s="16"/>
      <c r="P547" s="16"/>
      <c r="Q547" s="16"/>
      <c r="R547" s="16"/>
      <c r="S547" s="16"/>
      <c r="T547" s="16"/>
      <c r="U547" s="13"/>
      <c r="V547" s="16"/>
      <c r="W547" s="16"/>
      <c r="X547" s="16"/>
      <c r="Y547" s="8"/>
    </row>
    <row r="548" spans="1:25" ht="15.75" customHeight="1">
      <c r="A548" s="16"/>
      <c r="B548" s="16"/>
      <c r="C548" s="16"/>
      <c r="D548" s="16"/>
      <c r="E548" s="16"/>
      <c r="F548" s="16"/>
      <c r="G548" s="16"/>
      <c r="H548" s="16"/>
      <c r="I548" s="16"/>
      <c r="J548" s="16"/>
      <c r="K548" s="16"/>
      <c r="L548" s="16"/>
      <c r="M548" s="16"/>
      <c r="N548" s="16"/>
      <c r="O548" s="16"/>
      <c r="P548" s="16"/>
      <c r="Q548" s="16"/>
      <c r="R548" s="16"/>
      <c r="S548" s="16"/>
      <c r="T548" s="16"/>
      <c r="U548" s="13"/>
      <c r="V548" s="16"/>
      <c r="W548" s="16"/>
      <c r="X548" s="16"/>
      <c r="Y548" s="8"/>
    </row>
    <row r="549" spans="1:25" ht="15.75" customHeight="1">
      <c r="A549" s="16"/>
      <c r="B549" s="16"/>
      <c r="C549" s="16"/>
      <c r="D549" s="16"/>
      <c r="E549" s="16"/>
      <c r="F549" s="16"/>
      <c r="G549" s="16"/>
      <c r="H549" s="16"/>
      <c r="I549" s="16"/>
      <c r="J549" s="16"/>
      <c r="K549" s="16"/>
      <c r="L549" s="16"/>
      <c r="M549" s="16"/>
      <c r="N549" s="16"/>
      <c r="O549" s="16"/>
      <c r="P549" s="16"/>
      <c r="Q549" s="16"/>
      <c r="R549" s="16"/>
      <c r="S549" s="16"/>
      <c r="T549" s="16"/>
      <c r="U549" s="13"/>
      <c r="V549" s="16"/>
      <c r="W549" s="16"/>
      <c r="X549" s="16"/>
      <c r="Y549" s="8"/>
    </row>
    <row r="550" spans="1:25" ht="15.75" customHeight="1">
      <c r="A550" s="16"/>
      <c r="B550" s="16"/>
      <c r="C550" s="16"/>
      <c r="D550" s="16"/>
      <c r="E550" s="16"/>
      <c r="F550" s="16"/>
      <c r="G550" s="16"/>
      <c r="H550" s="16"/>
      <c r="I550" s="16"/>
      <c r="J550" s="16"/>
      <c r="K550" s="16"/>
      <c r="L550" s="16"/>
      <c r="M550" s="16"/>
      <c r="N550" s="16"/>
      <c r="O550" s="16"/>
      <c r="P550" s="16"/>
      <c r="Q550" s="16"/>
      <c r="R550" s="16"/>
      <c r="S550" s="16"/>
      <c r="T550" s="16"/>
      <c r="U550" s="13"/>
      <c r="V550" s="16"/>
      <c r="W550" s="16"/>
      <c r="X550" s="16"/>
      <c r="Y550" s="8"/>
    </row>
    <row r="551" spans="1:25" ht="15.75" customHeight="1">
      <c r="A551" s="16"/>
      <c r="B551" s="16"/>
      <c r="C551" s="16"/>
      <c r="D551" s="16"/>
      <c r="E551" s="16"/>
      <c r="F551" s="16"/>
      <c r="G551" s="16"/>
      <c r="H551" s="16"/>
      <c r="I551" s="16"/>
      <c r="J551" s="16"/>
      <c r="K551" s="16"/>
      <c r="L551" s="16"/>
      <c r="M551" s="16"/>
      <c r="N551" s="16"/>
      <c r="O551" s="16"/>
      <c r="P551" s="16"/>
      <c r="Q551" s="16"/>
      <c r="R551" s="16"/>
      <c r="S551" s="16"/>
      <c r="T551" s="16"/>
      <c r="U551" s="13"/>
      <c r="V551" s="16"/>
      <c r="W551" s="16"/>
      <c r="X551" s="16"/>
      <c r="Y551" s="8"/>
    </row>
    <row r="552" spans="1:25" ht="15.75" customHeight="1">
      <c r="A552" s="16"/>
      <c r="B552" s="16"/>
      <c r="C552" s="16"/>
      <c r="D552" s="16"/>
      <c r="E552" s="16"/>
      <c r="F552" s="16"/>
      <c r="G552" s="16"/>
      <c r="H552" s="16"/>
      <c r="I552" s="16"/>
      <c r="J552" s="16"/>
      <c r="K552" s="16"/>
      <c r="L552" s="16"/>
      <c r="M552" s="16"/>
      <c r="N552" s="16"/>
      <c r="O552" s="16"/>
      <c r="P552" s="16"/>
      <c r="Q552" s="16"/>
      <c r="R552" s="16"/>
      <c r="S552" s="16"/>
      <c r="T552" s="16"/>
      <c r="U552" s="13"/>
      <c r="V552" s="16"/>
      <c r="W552" s="16"/>
      <c r="X552" s="16"/>
      <c r="Y552" s="8"/>
    </row>
    <row r="553" spans="1:25" ht="15.75" customHeight="1">
      <c r="A553" s="16"/>
      <c r="B553" s="16"/>
      <c r="C553" s="16"/>
      <c r="D553" s="16"/>
      <c r="E553" s="16"/>
      <c r="F553" s="16"/>
      <c r="G553" s="16"/>
      <c r="H553" s="16"/>
      <c r="I553" s="16"/>
      <c r="J553" s="16"/>
      <c r="K553" s="16"/>
      <c r="L553" s="16"/>
      <c r="M553" s="16"/>
      <c r="N553" s="16"/>
      <c r="O553" s="16"/>
      <c r="P553" s="16"/>
      <c r="Q553" s="16"/>
      <c r="R553" s="16"/>
      <c r="S553" s="16"/>
      <c r="T553" s="16"/>
      <c r="U553" s="13"/>
      <c r="V553" s="16"/>
      <c r="W553" s="16"/>
      <c r="X553" s="16"/>
      <c r="Y553" s="8"/>
    </row>
    <row r="554" spans="1:25" ht="15.75" customHeight="1">
      <c r="A554" s="16"/>
      <c r="B554" s="16"/>
      <c r="C554" s="16"/>
      <c r="D554" s="16"/>
      <c r="E554" s="16"/>
      <c r="F554" s="16"/>
      <c r="G554" s="16"/>
      <c r="H554" s="16"/>
      <c r="I554" s="16"/>
      <c r="J554" s="16"/>
      <c r="K554" s="16"/>
      <c r="L554" s="16"/>
      <c r="M554" s="16"/>
      <c r="N554" s="16"/>
      <c r="O554" s="16"/>
      <c r="P554" s="16"/>
      <c r="Q554" s="16"/>
      <c r="R554" s="16"/>
      <c r="S554" s="16"/>
      <c r="T554" s="16"/>
      <c r="U554" s="13"/>
      <c r="V554" s="16"/>
      <c r="W554" s="16"/>
      <c r="X554" s="16"/>
      <c r="Y554" s="8"/>
    </row>
    <row r="555" spans="1:25" ht="15.75" customHeight="1">
      <c r="A555" s="16"/>
      <c r="B555" s="16"/>
      <c r="C555" s="16"/>
      <c r="D555" s="16"/>
      <c r="E555" s="16"/>
      <c r="F555" s="16"/>
      <c r="G555" s="16"/>
      <c r="H555" s="16"/>
      <c r="I555" s="16"/>
      <c r="J555" s="16"/>
      <c r="K555" s="16"/>
      <c r="L555" s="16"/>
      <c r="M555" s="16"/>
      <c r="N555" s="16"/>
      <c r="O555" s="16"/>
      <c r="P555" s="16"/>
      <c r="Q555" s="16"/>
      <c r="R555" s="16"/>
      <c r="S555" s="16"/>
      <c r="T555" s="16"/>
      <c r="U555" s="13"/>
      <c r="V555" s="16"/>
      <c r="W555" s="16"/>
      <c r="X555" s="16"/>
      <c r="Y555" s="8"/>
    </row>
    <row r="556" spans="1:25" ht="15.75" customHeight="1">
      <c r="A556" s="16"/>
      <c r="B556" s="16"/>
      <c r="C556" s="16"/>
      <c r="D556" s="16"/>
      <c r="E556" s="16"/>
      <c r="F556" s="16"/>
      <c r="G556" s="16"/>
      <c r="H556" s="16"/>
      <c r="I556" s="16"/>
      <c r="J556" s="16"/>
      <c r="K556" s="16"/>
      <c r="L556" s="16"/>
      <c r="M556" s="16"/>
      <c r="N556" s="16"/>
      <c r="O556" s="16"/>
      <c r="P556" s="16"/>
      <c r="Q556" s="16"/>
      <c r="R556" s="16"/>
      <c r="S556" s="16"/>
      <c r="T556" s="16"/>
      <c r="U556" s="13"/>
      <c r="V556" s="16"/>
      <c r="W556" s="16"/>
      <c r="X556" s="16"/>
      <c r="Y556" s="8"/>
    </row>
    <row r="557" spans="1:25" ht="15.75" customHeight="1">
      <c r="A557" s="16"/>
      <c r="B557" s="16"/>
      <c r="C557" s="16"/>
      <c r="D557" s="16"/>
      <c r="E557" s="16"/>
      <c r="F557" s="16"/>
      <c r="G557" s="16"/>
      <c r="H557" s="16"/>
      <c r="I557" s="16"/>
      <c r="J557" s="16"/>
      <c r="K557" s="16"/>
      <c r="L557" s="16"/>
      <c r="M557" s="16"/>
      <c r="N557" s="16"/>
      <c r="O557" s="16"/>
      <c r="P557" s="16"/>
      <c r="Q557" s="16"/>
      <c r="R557" s="16"/>
      <c r="S557" s="16"/>
      <c r="T557" s="16"/>
      <c r="U557" s="13"/>
      <c r="V557" s="16"/>
      <c r="W557" s="16"/>
      <c r="X557" s="16"/>
      <c r="Y557" s="8"/>
    </row>
    <row r="558" spans="1:25" ht="15.75" customHeight="1">
      <c r="A558" s="16"/>
      <c r="B558" s="16"/>
      <c r="C558" s="16"/>
      <c r="D558" s="16"/>
      <c r="E558" s="16"/>
      <c r="F558" s="16"/>
      <c r="G558" s="16"/>
      <c r="H558" s="16"/>
      <c r="I558" s="16"/>
      <c r="J558" s="16"/>
      <c r="K558" s="16"/>
      <c r="L558" s="16"/>
      <c r="M558" s="16"/>
      <c r="N558" s="16"/>
      <c r="O558" s="16"/>
      <c r="P558" s="16"/>
      <c r="Q558" s="16"/>
      <c r="R558" s="16"/>
      <c r="S558" s="16"/>
      <c r="T558" s="16"/>
      <c r="U558" s="13"/>
      <c r="V558" s="16"/>
      <c r="W558" s="16"/>
      <c r="X558" s="16"/>
      <c r="Y558" s="8"/>
    </row>
    <row r="559" spans="1:25" ht="15.75" customHeight="1">
      <c r="A559" s="16"/>
      <c r="B559" s="16"/>
      <c r="C559" s="16"/>
      <c r="D559" s="16"/>
      <c r="E559" s="16"/>
      <c r="F559" s="16"/>
      <c r="G559" s="16"/>
      <c r="H559" s="16"/>
      <c r="I559" s="16"/>
      <c r="J559" s="16"/>
      <c r="K559" s="16"/>
      <c r="L559" s="16"/>
      <c r="M559" s="16"/>
      <c r="N559" s="16"/>
      <c r="O559" s="16"/>
      <c r="P559" s="16"/>
      <c r="Q559" s="16"/>
      <c r="R559" s="16"/>
      <c r="S559" s="16"/>
      <c r="T559" s="16"/>
      <c r="U559" s="13"/>
      <c r="V559" s="16"/>
      <c r="W559" s="16"/>
      <c r="X559" s="16"/>
      <c r="Y559" s="8"/>
    </row>
    <row r="560" spans="1:25" ht="15.75" customHeight="1">
      <c r="A560" s="16"/>
      <c r="B560" s="16"/>
      <c r="C560" s="16"/>
      <c r="D560" s="16"/>
      <c r="E560" s="16"/>
      <c r="F560" s="16"/>
      <c r="G560" s="16"/>
      <c r="H560" s="16"/>
      <c r="I560" s="16"/>
      <c r="J560" s="16"/>
      <c r="K560" s="16"/>
      <c r="L560" s="16"/>
      <c r="M560" s="16"/>
      <c r="N560" s="16"/>
      <c r="O560" s="16"/>
      <c r="P560" s="16"/>
      <c r="Q560" s="16"/>
      <c r="R560" s="16"/>
      <c r="S560" s="16"/>
      <c r="T560" s="16"/>
      <c r="U560" s="13"/>
      <c r="V560" s="16"/>
      <c r="W560" s="16"/>
      <c r="X560" s="16"/>
      <c r="Y560" s="8"/>
    </row>
    <row r="561" spans="1:25" ht="15.75" customHeight="1">
      <c r="A561" s="16"/>
      <c r="B561" s="16"/>
      <c r="C561" s="16"/>
      <c r="D561" s="16"/>
      <c r="E561" s="16"/>
      <c r="F561" s="16"/>
      <c r="G561" s="16"/>
      <c r="H561" s="16"/>
      <c r="I561" s="16"/>
      <c r="J561" s="16"/>
      <c r="K561" s="16"/>
      <c r="L561" s="16"/>
      <c r="M561" s="16"/>
      <c r="N561" s="16"/>
      <c r="O561" s="16"/>
      <c r="P561" s="16"/>
      <c r="Q561" s="16"/>
      <c r="R561" s="16"/>
      <c r="S561" s="16"/>
      <c r="T561" s="16"/>
      <c r="U561" s="13"/>
      <c r="V561" s="16"/>
      <c r="W561" s="16"/>
      <c r="X561" s="16"/>
      <c r="Y561" s="8"/>
    </row>
    <row r="562" spans="1:25" ht="15.75" customHeight="1">
      <c r="A562" s="16"/>
      <c r="B562" s="16"/>
      <c r="C562" s="16"/>
      <c r="D562" s="16"/>
      <c r="E562" s="16"/>
      <c r="F562" s="16"/>
      <c r="G562" s="16"/>
      <c r="H562" s="16"/>
      <c r="I562" s="16"/>
      <c r="J562" s="16"/>
      <c r="K562" s="16"/>
      <c r="L562" s="16"/>
      <c r="M562" s="16"/>
      <c r="N562" s="16"/>
      <c r="O562" s="16"/>
      <c r="P562" s="16"/>
      <c r="Q562" s="16"/>
      <c r="R562" s="16"/>
      <c r="S562" s="16"/>
      <c r="T562" s="16"/>
      <c r="U562" s="13"/>
      <c r="V562" s="16"/>
      <c r="W562" s="16"/>
      <c r="X562" s="16"/>
      <c r="Y562" s="8"/>
    </row>
    <row r="563" spans="1:25" ht="15.75" customHeight="1">
      <c r="A563" s="16"/>
      <c r="B563" s="16"/>
      <c r="C563" s="16"/>
      <c r="D563" s="16"/>
      <c r="E563" s="16"/>
      <c r="F563" s="16"/>
      <c r="G563" s="16"/>
      <c r="H563" s="16"/>
      <c r="I563" s="16"/>
      <c r="J563" s="16"/>
      <c r="K563" s="16"/>
      <c r="L563" s="16"/>
      <c r="M563" s="16"/>
      <c r="N563" s="16"/>
      <c r="O563" s="16"/>
      <c r="P563" s="16"/>
      <c r="Q563" s="16"/>
      <c r="R563" s="16"/>
      <c r="S563" s="16"/>
      <c r="T563" s="16"/>
      <c r="U563" s="13"/>
      <c r="V563" s="16"/>
      <c r="W563" s="16"/>
      <c r="X563" s="16"/>
      <c r="Y563" s="8"/>
    </row>
    <row r="564" spans="1:25" ht="15.75" customHeight="1">
      <c r="A564" s="16"/>
      <c r="B564" s="16"/>
      <c r="C564" s="16"/>
      <c r="D564" s="16"/>
      <c r="E564" s="16"/>
      <c r="F564" s="16"/>
      <c r="G564" s="16"/>
      <c r="H564" s="16"/>
      <c r="I564" s="16"/>
      <c r="J564" s="16"/>
      <c r="K564" s="16"/>
      <c r="L564" s="16"/>
      <c r="M564" s="16"/>
      <c r="N564" s="16"/>
      <c r="O564" s="16"/>
      <c r="P564" s="16"/>
      <c r="Q564" s="16"/>
      <c r="R564" s="16"/>
      <c r="S564" s="16"/>
      <c r="T564" s="16"/>
      <c r="U564" s="13"/>
      <c r="V564" s="16"/>
      <c r="W564" s="16"/>
      <c r="X564" s="16"/>
      <c r="Y564" s="8"/>
    </row>
    <row r="565" spans="1:25" ht="15.75" customHeight="1">
      <c r="A565" s="16"/>
      <c r="B565" s="16"/>
      <c r="C565" s="16"/>
      <c r="D565" s="16"/>
      <c r="E565" s="16"/>
      <c r="F565" s="16"/>
      <c r="G565" s="16"/>
      <c r="H565" s="16"/>
      <c r="I565" s="16"/>
      <c r="J565" s="16"/>
      <c r="K565" s="16"/>
      <c r="L565" s="16"/>
      <c r="M565" s="16"/>
      <c r="N565" s="16"/>
      <c r="O565" s="16"/>
      <c r="P565" s="16"/>
      <c r="Q565" s="16"/>
      <c r="R565" s="16"/>
      <c r="S565" s="16"/>
      <c r="T565" s="16"/>
      <c r="U565" s="13"/>
      <c r="V565" s="16"/>
      <c r="W565" s="16"/>
      <c r="X565" s="16"/>
      <c r="Y565" s="8"/>
    </row>
    <row r="566" spans="1:25" ht="15.75" customHeight="1">
      <c r="A566" s="16"/>
      <c r="B566" s="16"/>
      <c r="C566" s="16"/>
      <c r="D566" s="16"/>
      <c r="E566" s="16"/>
      <c r="F566" s="16"/>
      <c r="G566" s="16"/>
      <c r="H566" s="16"/>
      <c r="I566" s="16"/>
      <c r="J566" s="16"/>
      <c r="K566" s="16"/>
      <c r="L566" s="16"/>
      <c r="M566" s="16"/>
      <c r="N566" s="16"/>
      <c r="O566" s="16"/>
      <c r="P566" s="16"/>
      <c r="Q566" s="16"/>
      <c r="R566" s="16"/>
      <c r="S566" s="16"/>
      <c r="T566" s="16"/>
      <c r="U566" s="13"/>
      <c r="V566" s="16"/>
      <c r="W566" s="16"/>
      <c r="X566" s="16"/>
      <c r="Y566" s="8"/>
    </row>
    <row r="567" spans="1:25" ht="15.75" customHeight="1">
      <c r="A567" s="16"/>
      <c r="B567" s="16"/>
      <c r="C567" s="16"/>
      <c r="D567" s="16"/>
      <c r="E567" s="16"/>
      <c r="F567" s="16"/>
      <c r="G567" s="16"/>
      <c r="H567" s="16"/>
      <c r="I567" s="16"/>
      <c r="J567" s="16"/>
      <c r="K567" s="16"/>
      <c r="L567" s="16"/>
      <c r="M567" s="16"/>
      <c r="N567" s="16"/>
      <c r="O567" s="16"/>
      <c r="P567" s="16"/>
      <c r="Q567" s="16"/>
      <c r="R567" s="16"/>
      <c r="S567" s="16"/>
      <c r="T567" s="16"/>
      <c r="U567" s="13"/>
      <c r="V567" s="16"/>
      <c r="W567" s="16"/>
      <c r="X567" s="16"/>
      <c r="Y567" s="8"/>
    </row>
    <row r="568" spans="1:25" ht="15.75" customHeight="1">
      <c r="A568" s="16"/>
      <c r="B568" s="16"/>
      <c r="C568" s="16"/>
      <c r="D568" s="16"/>
      <c r="E568" s="16"/>
      <c r="F568" s="16"/>
      <c r="G568" s="16"/>
      <c r="H568" s="16"/>
      <c r="I568" s="16"/>
      <c r="J568" s="16"/>
      <c r="K568" s="16"/>
      <c r="L568" s="16"/>
      <c r="M568" s="16"/>
      <c r="N568" s="16"/>
      <c r="O568" s="16"/>
      <c r="P568" s="16"/>
      <c r="Q568" s="16"/>
      <c r="R568" s="16"/>
      <c r="S568" s="16"/>
      <c r="T568" s="16"/>
      <c r="U568" s="13"/>
      <c r="V568" s="16"/>
      <c r="W568" s="16"/>
      <c r="X568" s="16"/>
      <c r="Y568" s="8"/>
    </row>
    <row r="569" spans="1:25" ht="15.75" customHeight="1">
      <c r="A569" s="16"/>
      <c r="B569" s="16"/>
      <c r="C569" s="16"/>
      <c r="D569" s="16"/>
      <c r="E569" s="16"/>
      <c r="F569" s="16"/>
      <c r="G569" s="16"/>
      <c r="H569" s="16"/>
      <c r="I569" s="16"/>
      <c r="J569" s="16"/>
      <c r="K569" s="16"/>
      <c r="L569" s="16"/>
      <c r="M569" s="16"/>
      <c r="N569" s="16"/>
      <c r="O569" s="16"/>
      <c r="P569" s="16"/>
      <c r="Q569" s="16"/>
      <c r="R569" s="16"/>
      <c r="S569" s="16"/>
      <c r="T569" s="16"/>
      <c r="U569" s="13"/>
      <c r="V569" s="16"/>
      <c r="W569" s="16"/>
      <c r="X569" s="16"/>
      <c r="Y569" s="8"/>
    </row>
    <row r="570" spans="1:25" ht="15.75" customHeight="1">
      <c r="A570" s="16"/>
      <c r="B570" s="16"/>
      <c r="C570" s="16"/>
      <c r="D570" s="16"/>
      <c r="E570" s="16"/>
      <c r="F570" s="16"/>
      <c r="G570" s="16"/>
      <c r="H570" s="16"/>
      <c r="I570" s="16"/>
      <c r="J570" s="16"/>
      <c r="K570" s="16"/>
      <c r="L570" s="16"/>
      <c r="M570" s="16"/>
      <c r="N570" s="16"/>
      <c r="O570" s="16"/>
      <c r="P570" s="16"/>
      <c r="Q570" s="16"/>
      <c r="R570" s="16"/>
      <c r="S570" s="16"/>
      <c r="T570" s="16"/>
      <c r="U570" s="13"/>
      <c r="V570" s="16"/>
      <c r="W570" s="16"/>
      <c r="X570" s="16"/>
      <c r="Y570" s="8"/>
    </row>
    <row r="571" spans="1:25" ht="15.75" customHeight="1">
      <c r="A571" s="16"/>
      <c r="B571" s="16"/>
      <c r="C571" s="16"/>
      <c r="D571" s="16"/>
      <c r="E571" s="16"/>
      <c r="F571" s="16"/>
      <c r="G571" s="16"/>
      <c r="H571" s="16"/>
      <c r="I571" s="16"/>
      <c r="J571" s="16"/>
      <c r="K571" s="16"/>
      <c r="L571" s="16"/>
      <c r="M571" s="16"/>
      <c r="N571" s="16"/>
      <c r="O571" s="16"/>
      <c r="P571" s="16"/>
      <c r="Q571" s="16"/>
      <c r="R571" s="16"/>
      <c r="S571" s="16"/>
      <c r="T571" s="16"/>
      <c r="U571" s="13"/>
      <c r="V571" s="16"/>
      <c r="W571" s="16"/>
      <c r="X571" s="16"/>
      <c r="Y571" s="8"/>
    </row>
    <row r="572" spans="1:25" ht="15.75" customHeight="1">
      <c r="A572" s="16"/>
      <c r="B572" s="16"/>
      <c r="C572" s="16"/>
      <c r="D572" s="16"/>
      <c r="E572" s="16"/>
      <c r="F572" s="16"/>
      <c r="G572" s="16"/>
      <c r="H572" s="16"/>
      <c r="I572" s="16"/>
      <c r="J572" s="16"/>
      <c r="K572" s="16"/>
      <c r="L572" s="16"/>
      <c r="M572" s="16"/>
      <c r="N572" s="16"/>
      <c r="O572" s="16"/>
      <c r="P572" s="16"/>
      <c r="Q572" s="16"/>
      <c r="R572" s="16"/>
      <c r="S572" s="16"/>
      <c r="T572" s="16"/>
      <c r="U572" s="13"/>
      <c r="V572" s="16"/>
      <c r="W572" s="16"/>
      <c r="X572" s="16"/>
      <c r="Y572" s="8"/>
    </row>
    <row r="573" spans="1:25" ht="15.75" customHeight="1">
      <c r="A573" s="16"/>
      <c r="B573" s="16"/>
      <c r="C573" s="16"/>
      <c r="D573" s="16"/>
      <c r="E573" s="16"/>
      <c r="F573" s="16"/>
      <c r="G573" s="16"/>
      <c r="H573" s="16"/>
      <c r="I573" s="16"/>
      <c r="J573" s="16"/>
      <c r="K573" s="16"/>
      <c r="L573" s="16"/>
      <c r="M573" s="16"/>
      <c r="N573" s="16"/>
      <c r="O573" s="16"/>
      <c r="P573" s="16"/>
      <c r="Q573" s="16"/>
      <c r="R573" s="16"/>
      <c r="S573" s="16"/>
      <c r="T573" s="16"/>
      <c r="U573" s="13"/>
      <c r="V573" s="16"/>
      <c r="W573" s="16"/>
      <c r="X573" s="16"/>
      <c r="Y573" s="8"/>
    </row>
    <row r="574" spans="1:25" ht="15.75" customHeight="1">
      <c r="A574" s="16"/>
      <c r="B574" s="16"/>
      <c r="C574" s="16"/>
      <c r="D574" s="16"/>
      <c r="E574" s="16"/>
      <c r="F574" s="16"/>
      <c r="G574" s="16"/>
      <c r="H574" s="16"/>
      <c r="I574" s="16"/>
      <c r="J574" s="16"/>
      <c r="K574" s="16"/>
      <c r="L574" s="16"/>
      <c r="M574" s="16"/>
      <c r="N574" s="16"/>
      <c r="O574" s="16"/>
      <c r="P574" s="16"/>
      <c r="Q574" s="16"/>
      <c r="R574" s="16"/>
      <c r="S574" s="16"/>
      <c r="T574" s="16"/>
      <c r="U574" s="13"/>
      <c r="V574" s="16"/>
      <c r="W574" s="16"/>
      <c r="X574" s="16"/>
      <c r="Y574" s="8"/>
    </row>
    <row r="575" spans="1:25" ht="15.75" customHeight="1">
      <c r="A575" s="16"/>
      <c r="B575" s="16"/>
      <c r="C575" s="16"/>
      <c r="D575" s="16"/>
      <c r="E575" s="16"/>
      <c r="F575" s="16"/>
      <c r="G575" s="16"/>
      <c r="H575" s="16"/>
      <c r="I575" s="16"/>
      <c r="J575" s="16"/>
      <c r="K575" s="16"/>
      <c r="L575" s="16"/>
      <c r="M575" s="16"/>
      <c r="N575" s="16"/>
      <c r="O575" s="16"/>
      <c r="P575" s="16"/>
      <c r="Q575" s="16"/>
      <c r="R575" s="16"/>
      <c r="S575" s="16"/>
      <c r="T575" s="16"/>
      <c r="U575" s="13"/>
      <c r="V575" s="16"/>
      <c r="W575" s="16"/>
      <c r="X575" s="16"/>
      <c r="Y575" s="8"/>
    </row>
    <row r="576" spans="1:25" ht="15.75" customHeight="1">
      <c r="A576" s="16"/>
      <c r="B576" s="16"/>
      <c r="C576" s="16"/>
      <c r="D576" s="16"/>
      <c r="E576" s="16"/>
      <c r="F576" s="16"/>
      <c r="G576" s="16"/>
      <c r="H576" s="16"/>
      <c r="I576" s="16"/>
      <c r="J576" s="16"/>
      <c r="K576" s="16"/>
      <c r="L576" s="16"/>
      <c r="M576" s="16"/>
      <c r="N576" s="16"/>
      <c r="O576" s="16"/>
      <c r="P576" s="16"/>
      <c r="Q576" s="16"/>
      <c r="R576" s="16"/>
      <c r="S576" s="16"/>
      <c r="T576" s="16"/>
      <c r="U576" s="13"/>
      <c r="V576" s="16"/>
      <c r="W576" s="16"/>
      <c r="X576" s="16"/>
      <c r="Y576" s="8"/>
    </row>
    <row r="577" spans="1:25" ht="15.75" customHeight="1">
      <c r="A577" s="16"/>
      <c r="B577" s="16"/>
      <c r="C577" s="16"/>
      <c r="D577" s="16"/>
      <c r="E577" s="16"/>
      <c r="F577" s="16"/>
      <c r="G577" s="16"/>
      <c r="H577" s="16"/>
      <c r="I577" s="16"/>
      <c r="J577" s="16"/>
      <c r="K577" s="16"/>
      <c r="L577" s="16"/>
      <c r="M577" s="16"/>
      <c r="N577" s="16"/>
      <c r="O577" s="16"/>
      <c r="P577" s="16"/>
      <c r="Q577" s="16"/>
      <c r="R577" s="16"/>
      <c r="S577" s="16"/>
      <c r="T577" s="16"/>
      <c r="U577" s="13"/>
      <c r="V577" s="16"/>
      <c r="W577" s="16"/>
      <c r="X577" s="16"/>
      <c r="Y577" s="8"/>
    </row>
    <row r="578" spans="1:25" ht="15.75" customHeight="1">
      <c r="A578" s="16"/>
      <c r="B578" s="16"/>
      <c r="C578" s="16"/>
      <c r="D578" s="16"/>
      <c r="E578" s="16"/>
      <c r="F578" s="16"/>
      <c r="G578" s="16"/>
      <c r="H578" s="16"/>
      <c r="I578" s="16"/>
      <c r="J578" s="16"/>
      <c r="K578" s="16"/>
      <c r="L578" s="16"/>
      <c r="M578" s="16"/>
      <c r="N578" s="16"/>
      <c r="O578" s="16"/>
      <c r="P578" s="16"/>
      <c r="Q578" s="16"/>
      <c r="R578" s="16"/>
      <c r="S578" s="16"/>
      <c r="T578" s="16"/>
      <c r="U578" s="13"/>
      <c r="V578" s="16"/>
      <c r="W578" s="16"/>
      <c r="X578" s="16"/>
      <c r="Y578" s="8"/>
    </row>
    <row r="579" spans="1:25" ht="15.75" customHeight="1">
      <c r="A579" s="16"/>
      <c r="B579" s="16"/>
      <c r="C579" s="16"/>
      <c r="D579" s="16"/>
      <c r="E579" s="16"/>
      <c r="F579" s="16"/>
      <c r="G579" s="16"/>
      <c r="H579" s="16"/>
      <c r="I579" s="16"/>
      <c r="J579" s="16"/>
      <c r="K579" s="16"/>
      <c r="L579" s="16"/>
      <c r="M579" s="16"/>
      <c r="N579" s="16"/>
      <c r="O579" s="16"/>
      <c r="P579" s="16"/>
      <c r="Q579" s="16"/>
      <c r="R579" s="16"/>
      <c r="S579" s="16"/>
      <c r="T579" s="16"/>
      <c r="U579" s="13"/>
      <c r="V579" s="16"/>
      <c r="W579" s="16"/>
      <c r="X579" s="16"/>
      <c r="Y579" s="8"/>
    </row>
    <row r="580" spans="1:25" ht="15.75" customHeight="1">
      <c r="A580" s="16"/>
      <c r="B580" s="16"/>
      <c r="C580" s="16"/>
      <c r="D580" s="16"/>
      <c r="E580" s="16"/>
      <c r="F580" s="16"/>
      <c r="G580" s="16"/>
      <c r="H580" s="16"/>
      <c r="I580" s="16"/>
      <c r="J580" s="16"/>
      <c r="K580" s="16"/>
      <c r="L580" s="16"/>
      <c r="M580" s="16"/>
      <c r="N580" s="16"/>
      <c r="O580" s="16"/>
      <c r="P580" s="16"/>
      <c r="Q580" s="16"/>
      <c r="R580" s="16"/>
      <c r="S580" s="16"/>
      <c r="T580" s="16"/>
      <c r="U580" s="13"/>
      <c r="V580" s="16"/>
      <c r="W580" s="16"/>
      <c r="X580" s="16"/>
      <c r="Y580" s="8"/>
    </row>
    <row r="581" spans="1:25" ht="15.75" customHeight="1">
      <c r="A581" s="16"/>
      <c r="B581" s="16"/>
      <c r="C581" s="16"/>
      <c r="D581" s="16"/>
      <c r="E581" s="16"/>
      <c r="F581" s="16"/>
      <c r="G581" s="16"/>
      <c r="H581" s="16"/>
      <c r="I581" s="16"/>
      <c r="J581" s="16"/>
      <c r="K581" s="16"/>
      <c r="L581" s="16"/>
      <c r="M581" s="16"/>
      <c r="N581" s="16"/>
      <c r="O581" s="16"/>
      <c r="P581" s="16"/>
      <c r="Q581" s="16"/>
      <c r="R581" s="16"/>
      <c r="S581" s="16"/>
      <c r="T581" s="16"/>
      <c r="U581" s="13"/>
      <c r="V581" s="16"/>
      <c r="W581" s="16"/>
      <c r="X581" s="16"/>
      <c r="Y581" s="8"/>
    </row>
    <row r="582" spans="1:25" ht="15.75" customHeight="1">
      <c r="A582" s="16"/>
      <c r="B582" s="16"/>
      <c r="C582" s="16"/>
      <c r="D582" s="16"/>
      <c r="E582" s="16"/>
      <c r="F582" s="16"/>
      <c r="G582" s="16"/>
      <c r="H582" s="16"/>
      <c r="I582" s="16"/>
      <c r="J582" s="16"/>
      <c r="K582" s="16"/>
      <c r="L582" s="16"/>
      <c r="M582" s="16"/>
      <c r="N582" s="16"/>
      <c r="O582" s="16"/>
      <c r="P582" s="16"/>
      <c r="Q582" s="16"/>
      <c r="R582" s="16"/>
      <c r="S582" s="16"/>
      <c r="T582" s="16"/>
      <c r="U582" s="13"/>
      <c r="V582" s="16"/>
      <c r="W582" s="16"/>
      <c r="X582" s="16"/>
      <c r="Y582" s="8"/>
    </row>
    <row r="583" spans="1:25" ht="15.75" customHeight="1">
      <c r="A583" s="16"/>
      <c r="B583" s="16"/>
      <c r="C583" s="16"/>
      <c r="D583" s="16"/>
      <c r="E583" s="16"/>
      <c r="F583" s="16"/>
      <c r="G583" s="16"/>
      <c r="H583" s="16"/>
      <c r="I583" s="16"/>
      <c r="J583" s="16"/>
      <c r="K583" s="16"/>
      <c r="L583" s="16"/>
      <c r="M583" s="16"/>
      <c r="N583" s="16"/>
      <c r="O583" s="16"/>
      <c r="P583" s="16"/>
      <c r="Q583" s="16"/>
      <c r="R583" s="16"/>
      <c r="S583" s="16"/>
      <c r="T583" s="16"/>
      <c r="U583" s="13"/>
      <c r="V583" s="16"/>
      <c r="W583" s="16"/>
      <c r="X583" s="16"/>
      <c r="Y583" s="8"/>
    </row>
    <row r="584" spans="1:25" ht="15.75" customHeight="1">
      <c r="A584" s="16"/>
      <c r="B584" s="16"/>
      <c r="C584" s="16"/>
      <c r="D584" s="16"/>
      <c r="E584" s="16"/>
      <c r="F584" s="16"/>
      <c r="G584" s="16"/>
      <c r="H584" s="16"/>
      <c r="I584" s="16"/>
      <c r="J584" s="16"/>
      <c r="K584" s="16"/>
      <c r="L584" s="16"/>
      <c r="M584" s="16"/>
      <c r="N584" s="16"/>
      <c r="O584" s="16"/>
      <c r="P584" s="16"/>
      <c r="Q584" s="16"/>
      <c r="R584" s="16"/>
      <c r="S584" s="16"/>
      <c r="T584" s="16"/>
      <c r="U584" s="13"/>
      <c r="V584" s="16"/>
      <c r="W584" s="16"/>
      <c r="X584" s="16"/>
      <c r="Y584" s="8"/>
    </row>
    <row r="585" spans="1:25" ht="15.75" customHeight="1">
      <c r="A585" s="16"/>
      <c r="B585" s="16"/>
      <c r="C585" s="16"/>
      <c r="D585" s="16"/>
      <c r="E585" s="16"/>
      <c r="F585" s="16"/>
      <c r="G585" s="16"/>
      <c r="H585" s="16"/>
      <c r="I585" s="16"/>
      <c r="J585" s="16"/>
      <c r="K585" s="16"/>
      <c r="L585" s="16"/>
      <c r="M585" s="16"/>
      <c r="N585" s="16"/>
      <c r="O585" s="16"/>
      <c r="P585" s="16"/>
      <c r="Q585" s="16"/>
      <c r="R585" s="16"/>
      <c r="S585" s="16"/>
      <c r="T585" s="16"/>
      <c r="U585" s="13"/>
      <c r="V585" s="16"/>
      <c r="W585" s="16"/>
      <c r="X585" s="16"/>
      <c r="Y585" s="8"/>
    </row>
    <row r="586" spans="1:25" ht="15.75" customHeight="1">
      <c r="A586" s="16"/>
      <c r="B586" s="16"/>
      <c r="C586" s="16"/>
      <c r="D586" s="16"/>
      <c r="E586" s="16"/>
      <c r="F586" s="16"/>
      <c r="G586" s="16"/>
      <c r="H586" s="16"/>
      <c r="I586" s="16"/>
      <c r="J586" s="16"/>
      <c r="K586" s="16"/>
      <c r="L586" s="16"/>
      <c r="M586" s="16"/>
      <c r="N586" s="16"/>
      <c r="O586" s="16"/>
      <c r="P586" s="16"/>
      <c r="Q586" s="16"/>
      <c r="R586" s="16"/>
      <c r="S586" s="16"/>
      <c r="T586" s="16"/>
      <c r="U586" s="13"/>
      <c r="V586" s="16"/>
      <c r="W586" s="16"/>
      <c r="X586" s="16"/>
      <c r="Y586" s="8"/>
    </row>
    <row r="587" spans="1:25" ht="15.75" customHeight="1">
      <c r="A587" s="16"/>
      <c r="B587" s="16"/>
      <c r="C587" s="16"/>
      <c r="D587" s="16"/>
      <c r="E587" s="16"/>
      <c r="F587" s="16"/>
      <c r="G587" s="16"/>
      <c r="H587" s="16"/>
      <c r="I587" s="16"/>
      <c r="J587" s="16"/>
      <c r="K587" s="16"/>
      <c r="L587" s="16"/>
      <c r="M587" s="16"/>
      <c r="N587" s="16"/>
      <c r="O587" s="16"/>
      <c r="P587" s="16"/>
      <c r="Q587" s="16"/>
      <c r="R587" s="16"/>
      <c r="S587" s="16"/>
      <c r="T587" s="16"/>
      <c r="U587" s="13"/>
      <c r="V587" s="16"/>
      <c r="W587" s="16"/>
      <c r="X587" s="16"/>
      <c r="Y587" s="8"/>
    </row>
    <row r="588" spans="1:25" ht="15.75" customHeight="1">
      <c r="A588" s="16"/>
      <c r="B588" s="16"/>
      <c r="C588" s="16"/>
      <c r="D588" s="16"/>
      <c r="E588" s="16"/>
      <c r="F588" s="16"/>
      <c r="G588" s="16"/>
      <c r="H588" s="16"/>
      <c r="I588" s="16"/>
      <c r="J588" s="16"/>
      <c r="K588" s="16"/>
      <c r="L588" s="16"/>
      <c r="M588" s="16"/>
      <c r="N588" s="16"/>
      <c r="O588" s="16"/>
      <c r="P588" s="16"/>
      <c r="Q588" s="16"/>
      <c r="R588" s="16"/>
      <c r="S588" s="16"/>
      <c r="T588" s="16"/>
      <c r="U588" s="13"/>
      <c r="V588" s="16"/>
      <c r="W588" s="16"/>
      <c r="X588" s="16"/>
      <c r="Y588" s="8"/>
    </row>
    <row r="589" spans="1:25" ht="15.75" customHeight="1">
      <c r="A589" s="16"/>
      <c r="B589" s="16"/>
      <c r="C589" s="16"/>
      <c r="D589" s="16"/>
      <c r="E589" s="16"/>
      <c r="F589" s="16"/>
      <c r="G589" s="16"/>
      <c r="H589" s="16"/>
      <c r="I589" s="16"/>
      <c r="J589" s="16"/>
      <c r="K589" s="16"/>
      <c r="L589" s="16"/>
      <c r="M589" s="16"/>
      <c r="N589" s="16"/>
      <c r="O589" s="16"/>
      <c r="P589" s="16"/>
      <c r="Q589" s="16"/>
      <c r="R589" s="16"/>
      <c r="S589" s="16"/>
      <c r="T589" s="16"/>
      <c r="U589" s="13"/>
      <c r="V589" s="16"/>
      <c r="W589" s="16"/>
      <c r="X589" s="16"/>
      <c r="Y589" s="8"/>
    </row>
    <row r="590" spans="1:25" ht="15.75" customHeight="1">
      <c r="A590" s="16"/>
      <c r="B590" s="16"/>
      <c r="C590" s="16"/>
      <c r="D590" s="16"/>
      <c r="E590" s="16"/>
      <c r="F590" s="16"/>
      <c r="G590" s="16"/>
      <c r="H590" s="16"/>
      <c r="I590" s="16"/>
      <c r="J590" s="16"/>
      <c r="K590" s="16"/>
      <c r="L590" s="16"/>
      <c r="M590" s="16"/>
      <c r="N590" s="16"/>
      <c r="O590" s="16"/>
      <c r="P590" s="16"/>
      <c r="Q590" s="16"/>
      <c r="R590" s="16"/>
      <c r="S590" s="16"/>
      <c r="T590" s="16"/>
      <c r="U590" s="13"/>
      <c r="V590" s="16"/>
      <c r="W590" s="16"/>
      <c r="X590" s="16"/>
      <c r="Y590" s="8"/>
    </row>
    <row r="591" spans="1:25" ht="15.75" customHeight="1">
      <c r="A591" s="16"/>
      <c r="B591" s="16"/>
      <c r="C591" s="16"/>
      <c r="D591" s="16"/>
      <c r="E591" s="16"/>
      <c r="F591" s="16"/>
      <c r="G591" s="16"/>
      <c r="H591" s="16"/>
      <c r="I591" s="16"/>
      <c r="J591" s="16"/>
      <c r="K591" s="16"/>
      <c r="L591" s="16"/>
      <c r="M591" s="16"/>
      <c r="N591" s="16"/>
      <c r="O591" s="16"/>
      <c r="P591" s="16"/>
      <c r="Q591" s="16"/>
      <c r="R591" s="16"/>
      <c r="S591" s="16"/>
      <c r="T591" s="16"/>
      <c r="U591" s="13"/>
      <c r="V591" s="16"/>
      <c r="W591" s="16"/>
      <c r="X591" s="16"/>
      <c r="Y591" s="8"/>
    </row>
    <row r="592" spans="1:25" ht="15.75" customHeight="1">
      <c r="A592" s="16"/>
      <c r="B592" s="16"/>
      <c r="C592" s="16"/>
      <c r="D592" s="16"/>
      <c r="E592" s="16"/>
      <c r="F592" s="16"/>
      <c r="G592" s="16"/>
      <c r="H592" s="16"/>
      <c r="I592" s="16"/>
      <c r="J592" s="16"/>
      <c r="K592" s="16"/>
      <c r="L592" s="16"/>
      <c r="M592" s="16"/>
      <c r="N592" s="16"/>
      <c r="O592" s="16"/>
      <c r="P592" s="16"/>
      <c r="Q592" s="16"/>
      <c r="R592" s="16"/>
      <c r="S592" s="16"/>
      <c r="T592" s="16"/>
      <c r="U592" s="13"/>
      <c r="V592" s="16"/>
      <c r="W592" s="16"/>
      <c r="X592" s="16"/>
      <c r="Y592" s="8"/>
    </row>
    <row r="593" spans="1:25" ht="15.75" customHeight="1">
      <c r="A593" s="16"/>
      <c r="B593" s="16"/>
      <c r="C593" s="16"/>
      <c r="D593" s="16"/>
      <c r="E593" s="16"/>
      <c r="F593" s="16"/>
      <c r="G593" s="16"/>
      <c r="H593" s="16"/>
      <c r="I593" s="16"/>
      <c r="J593" s="16"/>
      <c r="K593" s="16"/>
      <c r="L593" s="16"/>
      <c r="M593" s="16"/>
      <c r="N593" s="16"/>
      <c r="O593" s="16"/>
      <c r="P593" s="16"/>
      <c r="Q593" s="16"/>
      <c r="R593" s="16"/>
      <c r="S593" s="16"/>
      <c r="T593" s="16"/>
      <c r="U593" s="13"/>
      <c r="V593" s="16"/>
      <c r="W593" s="16"/>
      <c r="X593" s="16"/>
      <c r="Y593" s="8"/>
    </row>
    <row r="594" spans="1:25" ht="15.75" customHeight="1">
      <c r="A594" s="16"/>
      <c r="B594" s="16"/>
      <c r="C594" s="16"/>
      <c r="D594" s="16"/>
      <c r="E594" s="16"/>
      <c r="F594" s="16"/>
      <c r="G594" s="16"/>
      <c r="H594" s="16"/>
      <c r="I594" s="16"/>
      <c r="J594" s="16"/>
      <c r="K594" s="16"/>
      <c r="L594" s="16"/>
      <c r="M594" s="16"/>
      <c r="N594" s="16"/>
      <c r="O594" s="16"/>
      <c r="P594" s="16"/>
      <c r="Q594" s="16"/>
      <c r="R594" s="16"/>
      <c r="S594" s="16"/>
      <c r="T594" s="16"/>
      <c r="U594" s="13"/>
      <c r="V594" s="16"/>
      <c r="W594" s="16"/>
      <c r="X594" s="16"/>
      <c r="Y594" s="8"/>
    </row>
    <row r="595" spans="1:25" ht="15.75" customHeight="1">
      <c r="A595" s="16"/>
      <c r="B595" s="16"/>
      <c r="C595" s="16"/>
      <c r="D595" s="16"/>
      <c r="E595" s="16"/>
      <c r="F595" s="16"/>
      <c r="G595" s="16"/>
      <c r="H595" s="16"/>
      <c r="I595" s="16"/>
      <c r="J595" s="16"/>
      <c r="K595" s="16"/>
      <c r="L595" s="16"/>
      <c r="M595" s="16"/>
      <c r="N595" s="16"/>
      <c r="O595" s="16"/>
      <c r="P595" s="16"/>
      <c r="Q595" s="16"/>
      <c r="R595" s="16"/>
      <c r="S595" s="16"/>
      <c r="T595" s="16"/>
      <c r="U595" s="13"/>
      <c r="V595" s="16"/>
      <c r="W595" s="16"/>
      <c r="X595" s="16"/>
      <c r="Y595" s="8"/>
    </row>
    <row r="596" spans="1:25" ht="15.75" customHeight="1">
      <c r="A596" s="16"/>
      <c r="B596" s="16"/>
      <c r="C596" s="16"/>
      <c r="D596" s="16"/>
      <c r="E596" s="16"/>
      <c r="F596" s="16"/>
      <c r="G596" s="16"/>
      <c r="H596" s="16"/>
      <c r="I596" s="16"/>
      <c r="J596" s="16"/>
      <c r="K596" s="16"/>
      <c r="L596" s="16"/>
      <c r="M596" s="16"/>
      <c r="N596" s="16"/>
      <c r="O596" s="16"/>
      <c r="P596" s="16"/>
      <c r="Q596" s="16"/>
      <c r="R596" s="16"/>
      <c r="S596" s="16"/>
      <c r="T596" s="16"/>
      <c r="U596" s="13"/>
      <c r="V596" s="16"/>
      <c r="W596" s="16"/>
      <c r="X596" s="16"/>
      <c r="Y596" s="8"/>
    </row>
    <row r="597" spans="1:25" ht="15.75" customHeight="1">
      <c r="A597" s="16"/>
      <c r="B597" s="16"/>
      <c r="C597" s="16"/>
      <c r="D597" s="16"/>
      <c r="E597" s="16"/>
      <c r="F597" s="16"/>
      <c r="G597" s="16"/>
      <c r="H597" s="16"/>
      <c r="I597" s="16"/>
      <c r="J597" s="16"/>
      <c r="K597" s="16"/>
      <c r="L597" s="16"/>
      <c r="M597" s="16"/>
      <c r="N597" s="16"/>
      <c r="O597" s="16"/>
      <c r="P597" s="16"/>
      <c r="Q597" s="16"/>
      <c r="R597" s="16"/>
      <c r="S597" s="16"/>
      <c r="T597" s="16"/>
      <c r="U597" s="13"/>
      <c r="V597" s="16"/>
      <c r="W597" s="16"/>
      <c r="X597" s="16"/>
      <c r="Y597" s="8"/>
    </row>
    <row r="598" spans="1:25" ht="15.75" customHeight="1">
      <c r="A598" s="16"/>
      <c r="B598" s="16"/>
      <c r="C598" s="16"/>
      <c r="D598" s="16"/>
      <c r="E598" s="16"/>
      <c r="F598" s="16"/>
      <c r="G598" s="16"/>
      <c r="H598" s="16"/>
      <c r="I598" s="16"/>
      <c r="J598" s="16"/>
      <c r="K598" s="16"/>
      <c r="L598" s="16"/>
      <c r="M598" s="16"/>
      <c r="N598" s="16"/>
      <c r="O598" s="16"/>
      <c r="P598" s="16"/>
      <c r="Q598" s="16"/>
      <c r="R598" s="16"/>
      <c r="S598" s="16"/>
      <c r="T598" s="16"/>
      <c r="U598" s="13"/>
      <c r="V598" s="16"/>
      <c r="W598" s="16"/>
      <c r="X598" s="16"/>
      <c r="Y598" s="8"/>
    </row>
    <row r="599" spans="1:25" ht="15.75" customHeight="1">
      <c r="A599" s="16"/>
      <c r="B599" s="16"/>
      <c r="C599" s="16"/>
      <c r="D599" s="16"/>
      <c r="E599" s="16"/>
      <c r="F599" s="16"/>
      <c r="G599" s="16"/>
      <c r="H599" s="16"/>
      <c r="I599" s="16"/>
      <c r="J599" s="16"/>
      <c r="K599" s="16"/>
      <c r="L599" s="16"/>
      <c r="M599" s="16"/>
      <c r="N599" s="16"/>
      <c r="O599" s="16"/>
      <c r="P599" s="16"/>
      <c r="Q599" s="16"/>
      <c r="R599" s="16"/>
      <c r="S599" s="16"/>
      <c r="T599" s="16"/>
      <c r="U599" s="13"/>
      <c r="V599" s="16"/>
      <c r="W599" s="16"/>
      <c r="X599" s="16"/>
      <c r="Y599" s="8"/>
    </row>
    <row r="600" spans="1:25" ht="15.75" customHeight="1">
      <c r="A600" s="16"/>
      <c r="B600" s="16"/>
      <c r="C600" s="16"/>
      <c r="D600" s="16"/>
      <c r="E600" s="16"/>
      <c r="F600" s="16"/>
      <c r="G600" s="16"/>
      <c r="H600" s="16"/>
      <c r="I600" s="16"/>
      <c r="J600" s="16"/>
      <c r="K600" s="16"/>
      <c r="L600" s="16"/>
      <c r="M600" s="16"/>
      <c r="N600" s="16"/>
      <c r="O600" s="16"/>
      <c r="P600" s="16"/>
      <c r="Q600" s="16"/>
      <c r="R600" s="16"/>
      <c r="S600" s="16"/>
      <c r="T600" s="16"/>
      <c r="U600" s="13"/>
      <c r="V600" s="16"/>
      <c r="W600" s="16"/>
      <c r="X600" s="16"/>
      <c r="Y600" s="8"/>
    </row>
    <row r="601" spans="1:25" ht="15.75" customHeight="1">
      <c r="A601" s="16"/>
      <c r="B601" s="16"/>
      <c r="C601" s="16"/>
      <c r="D601" s="16"/>
      <c r="E601" s="16"/>
      <c r="F601" s="16"/>
      <c r="G601" s="16"/>
      <c r="H601" s="16"/>
      <c r="I601" s="16"/>
      <c r="J601" s="16"/>
      <c r="K601" s="16"/>
      <c r="L601" s="16"/>
      <c r="M601" s="16"/>
      <c r="N601" s="16"/>
      <c r="O601" s="16"/>
      <c r="P601" s="16"/>
      <c r="Q601" s="16"/>
      <c r="R601" s="16"/>
      <c r="S601" s="16"/>
      <c r="T601" s="16"/>
      <c r="U601" s="13"/>
      <c r="V601" s="16"/>
      <c r="W601" s="16"/>
      <c r="X601" s="16"/>
      <c r="Y601" s="8"/>
    </row>
    <row r="602" spans="1:25" ht="15.75" customHeight="1">
      <c r="A602" s="16"/>
      <c r="B602" s="16"/>
      <c r="C602" s="16"/>
      <c r="D602" s="16"/>
      <c r="E602" s="16"/>
      <c r="F602" s="16"/>
      <c r="G602" s="16"/>
      <c r="H602" s="16"/>
      <c r="I602" s="16"/>
      <c r="J602" s="16"/>
      <c r="K602" s="16"/>
      <c r="L602" s="16"/>
      <c r="M602" s="16"/>
      <c r="N602" s="16"/>
      <c r="O602" s="16"/>
      <c r="P602" s="16"/>
      <c r="Q602" s="16"/>
      <c r="R602" s="16"/>
      <c r="S602" s="16"/>
      <c r="T602" s="16"/>
      <c r="U602" s="13"/>
      <c r="V602" s="16"/>
      <c r="W602" s="16"/>
      <c r="X602" s="16"/>
      <c r="Y602" s="8"/>
    </row>
    <row r="603" spans="1:25" ht="15.75" customHeight="1">
      <c r="A603" s="16"/>
      <c r="B603" s="16"/>
      <c r="C603" s="16"/>
      <c r="D603" s="16"/>
      <c r="E603" s="16"/>
      <c r="F603" s="16"/>
      <c r="G603" s="16"/>
      <c r="H603" s="16"/>
      <c r="I603" s="16"/>
      <c r="J603" s="16"/>
      <c r="K603" s="16"/>
      <c r="L603" s="16"/>
      <c r="M603" s="16"/>
      <c r="N603" s="16"/>
      <c r="O603" s="16"/>
      <c r="P603" s="16"/>
      <c r="Q603" s="16"/>
      <c r="R603" s="16"/>
      <c r="S603" s="16"/>
      <c r="T603" s="16"/>
      <c r="U603" s="13"/>
      <c r="V603" s="16"/>
      <c r="W603" s="16"/>
      <c r="X603" s="16"/>
      <c r="Y603" s="8"/>
    </row>
    <row r="604" spans="1:25" ht="15.75" customHeight="1">
      <c r="A604" s="16"/>
      <c r="B604" s="16"/>
      <c r="C604" s="16"/>
      <c r="D604" s="16"/>
      <c r="E604" s="16"/>
      <c r="F604" s="16"/>
      <c r="G604" s="16"/>
      <c r="H604" s="16"/>
      <c r="I604" s="16"/>
      <c r="J604" s="16"/>
      <c r="K604" s="16"/>
      <c r="L604" s="16"/>
      <c r="M604" s="16"/>
      <c r="N604" s="16"/>
      <c r="O604" s="16"/>
      <c r="P604" s="16"/>
      <c r="Q604" s="16"/>
      <c r="R604" s="16"/>
      <c r="S604" s="16"/>
      <c r="T604" s="16"/>
      <c r="U604" s="13"/>
      <c r="V604" s="16"/>
      <c r="W604" s="16"/>
      <c r="X604" s="16"/>
      <c r="Y604" s="8"/>
    </row>
    <row r="605" spans="1:25" ht="15.75" customHeight="1">
      <c r="A605" s="16"/>
      <c r="B605" s="16"/>
      <c r="C605" s="16"/>
      <c r="D605" s="16"/>
      <c r="E605" s="16"/>
      <c r="F605" s="16"/>
      <c r="G605" s="16"/>
      <c r="H605" s="16"/>
      <c r="I605" s="16"/>
      <c r="J605" s="16"/>
      <c r="K605" s="16"/>
      <c r="L605" s="16"/>
      <c r="M605" s="16"/>
      <c r="N605" s="16"/>
      <c r="O605" s="16"/>
      <c r="P605" s="16"/>
      <c r="Q605" s="16"/>
      <c r="R605" s="16"/>
      <c r="S605" s="16"/>
      <c r="T605" s="16"/>
      <c r="U605" s="13"/>
      <c r="V605" s="16"/>
      <c r="W605" s="16"/>
      <c r="X605" s="16"/>
      <c r="Y605" s="8"/>
    </row>
    <row r="606" spans="1:25" ht="15.75" customHeight="1">
      <c r="A606" s="16"/>
      <c r="B606" s="16"/>
      <c r="C606" s="16"/>
      <c r="D606" s="16"/>
      <c r="E606" s="16"/>
      <c r="F606" s="16"/>
      <c r="G606" s="16"/>
      <c r="H606" s="16"/>
      <c r="I606" s="16"/>
      <c r="J606" s="16"/>
      <c r="K606" s="16"/>
      <c r="L606" s="16"/>
      <c r="M606" s="16"/>
      <c r="N606" s="16"/>
      <c r="O606" s="16"/>
      <c r="P606" s="16"/>
      <c r="Q606" s="16"/>
      <c r="R606" s="16"/>
      <c r="S606" s="16"/>
      <c r="T606" s="16"/>
      <c r="U606" s="13"/>
      <c r="V606" s="16"/>
      <c r="W606" s="16"/>
      <c r="X606" s="16"/>
      <c r="Y606" s="8"/>
    </row>
    <row r="607" spans="1:25" ht="15.75" customHeight="1">
      <c r="A607" s="16"/>
      <c r="B607" s="16"/>
      <c r="C607" s="16"/>
      <c r="D607" s="16"/>
      <c r="E607" s="16"/>
      <c r="F607" s="16"/>
      <c r="G607" s="16"/>
      <c r="H607" s="16"/>
      <c r="I607" s="16"/>
      <c r="J607" s="16"/>
      <c r="K607" s="16"/>
      <c r="L607" s="16"/>
      <c r="M607" s="16"/>
      <c r="N607" s="16"/>
      <c r="O607" s="16"/>
      <c r="P607" s="16"/>
      <c r="Q607" s="16"/>
      <c r="R607" s="16"/>
      <c r="S607" s="16"/>
      <c r="T607" s="16"/>
      <c r="U607" s="13"/>
      <c r="V607" s="16"/>
      <c r="W607" s="16"/>
      <c r="X607" s="16"/>
      <c r="Y607" s="8"/>
    </row>
    <row r="608" spans="1:25" ht="15.75" customHeight="1">
      <c r="A608" s="16"/>
      <c r="B608" s="16"/>
      <c r="C608" s="16"/>
      <c r="D608" s="16"/>
      <c r="E608" s="16"/>
      <c r="F608" s="16"/>
      <c r="G608" s="16"/>
      <c r="H608" s="16"/>
      <c r="I608" s="16"/>
      <c r="J608" s="16"/>
      <c r="K608" s="16"/>
      <c r="L608" s="16"/>
      <c r="M608" s="16"/>
      <c r="N608" s="16"/>
      <c r="O608" s="16"/>
      <c r="P608" s="16"/>
      <c r="Q608" s="16"/>
      <c r="R608" s="16"/>
      <c r="S608" s="16"/>
      <c r="T608" s="16"/>
      <c r="U608" s="13"/>
      <c r="V608" s="16"/>
      <c r="W608" s="16"/>
      <c r="X608" s="16"/>
      <c r="Y608" s="8"/>
    </row>
    <row r="609" spans="1:25" ht="15.75" customHeight="1">
      <c r="A609" s="16"/>
      <c r="B609" s="16"/>
      <c r="C609" s="16"/>
      <c r="D609" s="16"/>
      <c r="E609" s="16"/>
      <c r="F609" s="16"/>
      <c r="G609" s="16"/>
      <c r="H609" s="16"/>
      <c r="I609" s="16"/>
      <c r="J609" s="16"/>
      <c r="K609" s="16"/>
      <c r="L609" s="16"/>
      <c r="M609" s="16"/>
      <c r="N609" s="16"/>
      <c r="O609" s="16"/>
      <c r="P609" s="16"/>
      <c r="Q609" s="16"/>
      <c r="R609" s="16"/>
      <c r="S609" s="16"/>
      <c r="T609" s="16"/>
      <c r="U609" s="13"/>
      <c r="V609" s="16"/>
      <c r="W609" s="16"/>
      <c r="X609" s="16"/>
      <c r="Y609" s="8"/>
    </row>
    <row r="610" spans="1:25" ht="15.75" customHeight="1">
      <c r="A610" s="16"/>
      <c r="B610" s="16"/>
      <c r="C610" s="16"/>
      <c r="D610" s="16"/>
      <c r="E610" s="16"/>
      <c r="F610" s="16"/>
      <c r="G610" s="16"/>
      <c r="H610" s="16"/>
      <c r="I610" s="16"/>
      <c r="J610" s="16"/>
      <c r="K610" s="16"/>
      <c r="L610" s="16"/>
      <c r="M610" s="16"/>
      <c r="N610" s="16"/>
      <c r="O610" s="16"/>
      <c r="P610" s="16"/>
      <c r="Q610" s="16"/>
      <c r="R610" s="16"/>
      <c r="S610" s="16"/>
      <c r="T610" s="16"/>
      <c r="U610" s="13"/>
      <c r="V610" s="16"/>
      <c r="W610" s="16"/>
      <c r="X610" s="16"/>
      <c r="Y610" s="8"/>
    </row>
    <row r="611" spans="1:25" ht="15.75" customHeight="1">
      <c r="A611" s="16"/>
      <c r="B611" s="16"/>
      <c r="C611" s="16"/>
      <c r="D611" s="16"/>
      <c r="E611" s="16"/>
      <c r="F611" s="16"/>
      <c r="G611" s="16"/>
      <c r="H611" s="16"/>
      <c r="I611" s="16"/>
      <c r="J611" s="16"/>
      <c r="K611" s="16"/>
      <c r="L611" s="16"/>
      <c r="M611" s="16"/>
      <c r="N611" s="16"/>
      <c r="O611" s="16"/>
      <c r="P611" s="16"/>
      <c r="Q611" s="16"/>
      <c r="R611" s="16"/>
      <c r="S611" s="16"/>
      <c r="T611" s="16"/>
      <c r="U611" s="13"/>
      <c r="V611" s="16"/>
      <c r="W611" s="16"/>
      <c r="X611" s="16"/>
      <c r="Y611" s="8"/>
    </row>
    <row r="612" spans="1:25" ht="15.75" customHeight="1">
      <c r="A612" s="16"/>
      <c r="B612" s="16"/>
      <c r="C612" s="16"/>
      <c r="D612" s="16"/>
      <c r="E612" s="16"/>
      <c r="F612" s="16"/>
      <c r="G612" s="16"/>
      <c r="H612" s="16"/>
      <c r="I612" s="16"/>
      <c r="J612" s="16"/>
      <c r="K612" s="16"/>
      <c r="L612" s="16"/>
      <c r="M612" s="16"/>
      <c r="N612" s="16"/>
      <c r="O612" s="16"/>
      <c r="P612" s="16"/>
      <c r="Q612" s="16"/>
      <c r="R612" s="16"/>
      <c r="S612" s="16"/>
      <c r="T612" s="16"/>
      <c r="U612" s="13"/>
      <c r="V612" s="16"/>
      <c r="W612" s="16"/>
      <c r="X612" s="16"/>
      <c r="Y612" s="8"/>
    </row>
    <row r="613" spans="1:25" ht="15.75" customHeight="1">
      <c r="A613" s="16"/>
      <c r="B613" s="16"/>
      <c r="C613" s="16"/>
      <c r="D613" s="16"/>
      <c r="E613" s="16"/>
      <c r="F613" s="16"/>
      <c r="G613" s="16"/>
      <c r="H613" s="16"/>
      <c r="I613" s="16"/>
      <c r="J613" s="16"/>
      <c r="K613" s="16"/>
      <c r="L613" s="16"/>
      <c r="M613" s="16"/>
      <c r="N613" s="16"/>
      <c r="O613" s="16"/>
      <c r="P613" s="16"/>
      <c r="Q613" s="16"/>
      <c r="R613" s="16"/>
      <c r="S613" s="16"/>
      <c r="T613" s="16"/>
      <c r="U613" s="13"/>
      <c r="V613" s="16"/>
      <c r="W613" s="16"/>
      <c r="X613" s="16"/>
      <c r="Y613" s="8"/>
    </row>
    <row r="614" spans="1:25" ht="15.75" customHeight="1">
      <c r="A614" s="16"/>
      <c r="B614" s="16"/>
      <c r="C614" s="16"/>
      <c r="D614" s="16"/>
      <c r="E614" s="16"/>
      <c r="F614" s="16"/>
      <c r="G614" s="16"/>
      <c r="H614" s="16"/>
      <c r="I614" s="16"/>
      <c r="J614" s="16"/>
      <c r="K614" s="16"/>
      <c r="L614" s="16"/>
      <c r="M614" s="16"/>
      <c r="N614" s="16"/>
      <c r="O614" s="16"/>
      <c r="P614" s="16"/>
      <c r="Q614" s="16"/>
      <c r="R614" s="16"/>
      <c r="S614" s="16"/>
      <c r="T614" s="16"/>
      <c r="U614" s="13"/>
      <c r="V614" s="16"/>
      <c r="W614" s="16"/>
      <c r="X614" s="16"/>
      <c r="Y614" s="8"/>
    </row>
    <row r="615" spans="1:25" ht="15.75" customHeight="1">
      <c r="A615" s="16"/>
      <c r="B615" s="16"/>
      <c r="C615" s="16"/>
      <c r="D615" s="16"/>
      <c r="E615" s="16"/>
      <c r="F615" s="16"/>
      <c r="G615" s="16"/>
      <c r="H615" s="16"/>
      <c r="I615" s="16"/>
      <c r="J615" s="16"/>
      <c r="K615" s="16"/>
      <c r="L615" s="16"/>
      <c r="M615" s="16"/>
      <c r="N615" s="16"/>
      <c r="O615" s="16"/>
      <c r="P615" s="16"/>
      <c r="Q615" s="16"/>
      <c r="R615" s="16"/>
      <c r="S615" s="16"/>
      <c r="T615" s="16"/>
      <c r="U615" s="13"/>
      <c r="V615" s="16"/>
      <c r="W615" s="16"/>
      <c r="X615" s="16"/>
      <c r="Y615" s="8"/>
    </row>
    <row r="616" spans="1:25" ht="15.75" customHeight="1">
      <c r="A616" s="16"/>
      <c r="B616" s="16"/>
      <c r="C616" s="16"/>
      <c r="D616" s="16"/>
      <c r="E616" s="16"/>
      <c r="F616" s="16"/>
      <c r="G616" s="16"/>
      <c r="H616" s="16"/>
      <c r="I616" s="16"/>
      <c r="J616" s="16"/>
      <c r="K616" s="16"/>
      <c r="L616" s="16"/>
      <c r="M616" s="16"/>
      <c r="N616" s="16"/>
      <c r="O616" s="16"/>
      <c r="P616" s="16"/>
      <c r="Q616" s="16"/>
      <c r="R616" s="16"/>
      <c r="S616" s="16"/>
      <c r="T616" s="16"/>
      <c r="U616" s="13"/>
      <c r="V616" s="16"/>
      <c r="W616" s="16"/>
      <c r="X616" s="16"/>
      <c r="Y616" s="8"/>
    </row>
    <row r="617" spans="1:25" ht="15.75" customHeight="1">
      <c r="A617" s="16"/>
      <c r="B617" s="16"/>
      <c r="C617" s="16"/>
      <c r="D617" s="16"/>
      <c r="E617" s="16"/>
      <c r="F617" s="16"/>
      <c r="G617" s="16"/>
      <c r="H617" s="16"/>
      <c r="I617" s="16"/>
      <c r="J617" s="16"/>
      <c r="K617" s="16"/>
      <c r="L617" s="16"/>
      <c r="M617" s="16"/>
      <c r="N617" s="16"/>
      <c r="O617" s="16"/>
      <c r="P617" s="16"/>
      <c r="Q617" s="16"/>
      <c r="R617" s="16"/>
      <c r="S617" s="16"/>
      <c r="T617" s="16"/>
      <c r="U617" s="13"/>
      <c r="V617" s="16"/>
      <c r="W617" s="16"/>
      <c r="X617" s="16"/>
      <c r="Y617" s="8"/>
    </row>
    <row r="618" spans="1:25" ht="15.75" customHeight="1">
      <c r="A618" s="16"/>
      <c r="B618" s="16"/>
      <c r="C618" s="16"/>
      <c r="D618" s="16"/>
      <c r="E618" s="16"/>
      <c r="F618" s="16"/>
      <c r="G618" s="16"/>
      <c r="H618" s="16"/>
      <c r="I618" s="16"/>
      <c r="J618" s="16"/>
      <c r="K618" s="16"/>
      <c r="L618" s="16"/>
      <c r="M618" s="16"/>
      <c r="N618" s="16"/>
      <c r="O618" s="16"/>
      <c r="P618" s="16"/>
      <c r="Q618" s="16"/>
      <c r="R618" s="16"/>
      <c r="S618" s="16"/>
      <c r="T618" s="16"/>
      <c r="U618" s="13"/>
      <c r="V618" s="16"/>
      <c r="W618" s="16"/>
      <c r="X618" s="16"/>
      <c r="Y618" s="8"/>
    </row>
    <row r="619" spans="1:25" ht="15.75" customHeight="1">
      <c r="A619" s="16"/>
      <c r="B619" s="16"/>
      <c r="C619" s="16"/>
      <c r="D619" s="16"/>
      <c r="E619" s="16"/>
      <c r="F619" s="16"/>
      <c r="G619" s="16"/>
      <c r="H619" s="16"/>
      <c r="I619" s="16"/>
      <c r="J619" s="16"/>
      <c r="K619" s="16"/>
      <c r="L619" s="16"/>
      <c r="M619" s="16"/>
      <c r="N619" s="16"/>
      <c r="O619" s="16"/>
      <c r="P619" s="16"/>
      <c r="Q619" s="16"/>
      <c r="R619" s="16"/>
      <c r="S619" s="16"/>
      <c r="T619" s="16"/>
      <c r="U619" s="13"/>
      <c r="V619" s="16"/>
      <c r="W619" s="16"/>
      <c r="X619" s="16"/>
      <c r="Y619" s="8"/>
    </row>
    <row r="620" spans="1:25" ht="15.75" customHeight="1">
      <c r="A620" s="16"/>
      <c r="B620" s="16"/>
      <c r="C620" s="16"/>
      <c r="D620" s="16"/>
      <c r="E620" s="16"/>
      <c r="F620" s="16"/>
      <c r="G620" s="16"/>
      <c r="H620" s="16"/>
      <c r="I620" s="16"/>
      <c r="J620" s="16"/>
      <c r="K620" s="16"/>
      <c r="L620" s="16"/>
      <c r="M620" s="16"/>
      <c r="N620" s="16"/>
      <c r="O620" s="16"/>
      <c r="P620" s="16"/>
      <c r="Q620" s="16"/>
      <c r="R620" s="16"/>
      <c r="S620" s="16"/>
      <c r="T620" s="16"/>
      <c r="U620" s="13"/>
      <c r="V620" s="16"/>
      <c r="W620" s="16"/>
      <c r="X620" s="16"/>
      <c r="Y620" s="8"/>
    </row>
    <row r="621" spans="1:25" ht="15.75" customHeight="1">
      <c r="A621" s="16"/>
      <c r="B621" s="16"/>
      <c r="C621" s="16"/>
      <c r="D621" s="16"/>
      <c r="E621" s="16"/>
      <c r="F621" s="16"/>
      <c r="G621" s="16"/>
      <c r="H621" s="16"/>
      <c r="I621" s="16"/>
      <c r="J621" s="16"/>
      <c r="K621" s="16"/>
      <c r="L621" s="16"/>
      <c r="M621" s="16"/>
      <c r="N621" s="16"/>
      <c r="O621" s="16"/>
      <c r="P621" s="16"/>
      <c r="Q621" s="16"/>
      <c r="R621" s="16"/>
      <c r="S621" s="16"/>
      <c r="T621" s="16"/>
      <c r="U621" s="13"/>
      <c r="V621" s="16"/>
      <c r="W621" s="16"/>
      <c r="X621" s="16"/>
      <c r="Y621" s="8"/>
    </row>
    <row r="622" spans="1:25" ht="15.75" customHeight="1">
      <c r="A622" s="16"/>
      <c r="B622" s="16"/>
      <c r="C622" s="16"/>
      <c r="D622" s="16"/>
      <c r="E622" s="16"/>
      <c r="F622" s="16"/>
      <c r="G622" s="16"/>
      <c r="H622" s="16"/>
      <c r="I622" s="16"/>
      <c r="J622" s="16"/>
      <c r="K622" s="16"/>
      <c r="L622" s="16"/>
      <c r="M622" s="16"/>
      <c r="N622" s="16"/>
      <c r="O622" s="16"/>
      <c r="P622" s="16"/>
      <c r="Q622" s="16"/>
      <c r="R622" s="16"/>
      <c r="S622" s="16"/>
      <c r="T622" s="16"/>
      <c r="U622" s="13"/>
      <c r="V622" s="16"/>
      <c r="W622" s="16"/>
      <c r="X622" s="16"/>
      <c r="Y622" s="8"/>
    </row>
    <row r="623" spans="1:25" ht="15.75" customHeight="1">
      <c r="A623" s="16"/>
      <c r="B623" s="16"/>
      <c r="C623" s="16"/>
      <c r="D623" s="16"/>
      <c r="E623" s="16"/>
      <c r="F623" s="16"/>
      <c r="G623" s="16"/>
      <c r="H623" s="16"/>
      <c r="I623" s="16"/>
      <c r="J623" s="16"/>
      <c r="K623" s="16"/>
      <c r="L623" s="16"/>
      <c r="M623" s="16"/>
      <c r="N623" s="16"/>
      <c r="O623" s="16"/>
      <c r="P623" s="16"/>
      <c r="Q623" s="16"/>
      <c r="R623" s="16"/>
      <c r="S623" s="16"/>
      <c r="T623" s="16"/>
      <c r="U623" s="13"/>
      <c r="V623" s="16"/>
      <c r="W623" s="16"/>
      <c r="X623" s="16"/>
      <c r="Y623" s="8"/>
    </row>
    <row r="624" spans="1:25" ht="15.75" customHeight="1">
      <c r="A624" s="16"/>
      <c r="B624" s="16"/>
      <c r="C624" s="16"/>
      <c r="D624" s="16"/>
      <c r="E624" s="16"/>
      <c r="F624" s="16"/>
      <c r="G624" s="16"/>
      <c r="H624" s="16"/>
      <c r="I624" s="16"/>
      <c r="J624" s="16"/>
      <c r="K624" s="16"/>
      <c r="L624" s="16"/>
      <c r="M624" s="16"/>
      <c r="N624" s="16"/>
      <c r="O624" s="16"/>
      <c r="P624" s="16"/>
      <c r="Q624" s="16"/>
      <c r="R624" s="16"/>
      <c r="S624" s="16"/>
      <c r="T624" s="16"/>
      <c r="U624" s="13"/>
      <c r="V624" s="16"/>
      <c r="W624" s="16"/>
      <c r="X624" s="16"/>
      <c r="Y624" s="8"/>
    </row>
    <row r="625" spans="1:25" ht="15.75" customHeight="1">
      <c r="A625" s="16"/>
      <c r="B625" s="16"/>
      <c r="C625" s="16"/>
      <c r="D625" s="16"/>
      <c r="E625" s="16"/>
      <c r="F625" s="16"/>
      <c r="G625" s="16"/>
      <c r="H625" s="16"/>
      <c r="I625" s="16"/>
      <c r="J625" s="16"/>
      <c r="K625" s="16"/>
      <c r="L625" s="16"/>
      <c r="M625" s="16"/>
      <c r="N625" s="16"/>
      <c r="O625" s="16"/>
      <c r="P625" s="16"/>
      <c r="Q625" s="16"/>
      <c r="R625" s="16"/>
      <c r="S625" s="16"/>
      <c r="T625" s="16"/>
      <c r="U625" s="13"/>
      <c r="V625" s="16"/>
      <c r="W625" s="16"/>
      <c r="X625" s="16"/>
      <c r="Y625" s="8"/>
    </row>
    <row r="626" spans="1:25" ht="15.75" customHeight="1">
      <c r="A626" s="16"/>
      <c r="B626" s="16"/>
      <c r="C626" s="16"/>
      <c r="D626" s="16"/>
      <c r="E626" s="16"/>
      <c r="F626" s="16"/>
      <c r="G626" s="16"/>
      <c r="H626" s="16"/>
      <c r="I626" s="16"/>
      <c r="J626" s="16"/>
      <c r="K626" s="16"/>
      <c r="L626" s="16"/>
      <c r="M626" s="16"/>
      <c r="N626" s="16"/>
      <c r="O626" s="16"/>
      <c r="P626" s="16"/>
      <c r="Q626" s="16"/>
      <c r="R626" s="16"/>
      <c r="S626" s="16"/>
      <c r="T626" s="16"/>
      <c r="U626" s="13"/>
      <c r="V626" s="16"/>
      <c r="W626" s="16"/>
      <c r="X626" s="16"/>
      <c r="Y626" s="8"/>
    </row>
    <row r="627" spans="1:25" ht="15.75" customHeight="1">
      <c r="A627" s="16"/>
      <c r="B627" s="16"/>
      <c r="C627" s="16"/>
      <c r="D627" s="16"/>
      <c r="E627" s="16"/>
      <c r="F627" s="16"/>
      <c r="G627" s="16"/>
      <c r="H627" s="16"/>
      <c r="I627" s="16"/>
      <c r="J627" s="16"/>
      <c r="K627" s="16"/>
      <c r="L627" s="16"/>
      <c r="M627" s="16"/>
      <c r="N627" s="16"/>
      <c r="O627" s="16"/>
      <c r="P627" s="16"/>
      <c r="Q627" s="16"/>
      <c r="R627" s="16"/>
      <c r="S627" s="16"/>
      <c r="T627" s="16"/>
      <c r="U627" s="13"/>
      <c r="V627" s="16"/>
      <c r="W627" s="16"/>
      <c r="X627" s="16"/>
      <c r="Y627" s="8"/>
    </row>
    <row r="628" spans="1:25" ht="15.75" customHeight="1">
      <c r="A628" s="16"/>
      <c r="B628" s="16"/>
      <c r="C628" s="16"/>
      <c r="D628" s="16"/>
      <c r="E628" s="16"/>
      <c r="F628" s="16"/>
      <c r="G628" s="16"/>
      <c r="H628" s="16"/>
      <c r="I628" s="16"/>
      <c r="J628" s="16"/>
      <c r="K628" s="16"/>
      <c r="L628" s="16"/>
      <c r="M628" s="16"/>
      <c r="N628" s="16"/>
      <c r="O628" s="16"/>
      <c r="P628" s="16"/>
      <c r="Q628" s="16"/>
      <c r="R628" s="16"/>
      <c r="S628" s="16"/>
      <c r="T628" s="16"/>
      <c r="U628" s="13"/>
      <c r="V628" s="16"/>
      <c r="W628" s="16"/>
      <c r="X628" s="16"/>
      <c r="Y628" s="8"/>
    </row>
    <row r="629" spans="1:25" ht="15.75" customHeight="1">
      <c r="A629" s="16"/>
      <c r="B629" s="16"/>
      <c r="C629" s="16"/>
      <c r="D629" s="16"/>
      <c r="E629" s="16"/>
      <c r="F629" s="16"/>
      <c r="G629" s="16"/>
      <c r="H629" s="16"/>
      <c r="I629" s="16"/>
      <c r="J629" s="16"/>
      <c r="K629" s="16"/>
      <c r="L629" s="16"/>
      <c r="M629" s="16"/>
      <c r="N629" s="16"/>
      <c r="O629" s="16"/>
      <c r="P629" s="16"/>
      <c r="Q629" s="16"/>
      <c r="R629" s="16"/>
      <c r="S629" s="16"/>
      <c r="T629" s="16"/>
      <c r="U629" s="13"/>
      <c r="V629" s="16"/>
      <c r="W629" s="16"/>
      <c r="X629" s="16"/>
      <c r="Y629" s="8"/>
    </row>
    <row r="630" spans="1:25" ht="15.75" customHeight="1">
      <c r="A630" s="16"/>
      <c r="B630" s="16"/>
      <c r="C630" s="16"/>
      <c r="D630" s="16"/>
      <c r="E630" s="16"/>
      <c r="F630" s="16"/>
      <c r="G630" s="16"/>
      <c r="H630" s="16"/>
      <c r="I630" s="16"/>
      <c r="J630" s="16"/>
      <c r="K630" s="16"/>
      <c r="L630" s="16"/>
      <c r="M630" s="16"/>
      <c r="N630" s="16"/>
      <c r="O630" s="16"/>
      <c r="P630" s="16"/>
      <c r="Q630" s="16"/>
      <c r="R630" s="16"/>
      <c r="S630" s="16"/>
      <c r="T630" s="16"/>
      <c r="U630" s="13"/>
      <c r="V630" s="16"/>
      <c r="W630" s="16"/>
      <c r="X630" s="16"/>
      <c r="Y630" s="8"/>
    </row>
    <row r="631" spans="1:25" ht="15.75" customHeight="1">
      <c r="A631" s="16"/>
      <c r="B631" s="16"/>
      <c r="C631" s="16"/>
      <c r="D631" s="16"/>
      <c r="E631" s="16"/>
      <c r="F631" s="16"/>
      <c r="G631" s="16"/>
      <c r="H631" s="16"/>
      <c r="I631" s="16"/>
      <c r="J631" s="16"/>
      <c r="K631" s="16"/>
      <c r="L631" s="16"/>
      <c r="M631" s="16"/>
      <c r="N631" s="16"/>
      <c r="O631" s="16"/>
      <c r="P631" s="16"/>
      <c r="Q631" s="16"/>
      <c r="R631" s="16"/>
      <c r="S631" s="16"/>
      <c r="T631" s="16"/>
      <c r="U631" s="13"/>
      <c r="V631" s="16"/>
      <c r="W631" s="16"/>
      <c r="X631" s="16"/>
      <c r="Y631" s="8"/>
    </row>
    <row r="632" spans="1:25" ht="15.75" customHeight="1">
      <c r="A632" s="16"/>
      <c r="B632" s="16"/>
      <c r="C632" s="16"/>
      <c r="D632" s="16"/>
      <c r="E632" s="16"/>
      <c r="F632" s="16"/>
      <c r="G632" s="16"/>
      <c r="H632" s="16"/>
      <c r="I632" s="16"/>
      <c r="J632" s="16"/>
      <c r="K632" s="16"/>
      <c r="L632" s="16"/>
      <c r="M632" s="16"/>
      <c r="N632" s="16"/>
      <c r="O632" s="16"/>
      <c r="P632" s="16"/>
      <c r="Q632" s="16"/>
      <c r="R632" s="16"/>
      <c r="S632" s="16"/>
      <c r="T632" s="16"/>
      <c r="U632" s="13"/>
      <c r="V632" s="16"/>
      <c r="W632" s="16"/>
      <c r="X632" s="16"/>
      <c r="Y632" s="8"/>
    </row>
    <row r="633" spans="1:25" ht="15.75" customHeight="1">
      <c r="A633" s="16"/>
      <c r="B633" s="16"/>
      <c r="C633" s="16"/>
      <c r="D633" s="16"/>
      <c r="E633" s="16"/>
      <c r="F633" s="16"/>
      <c r="G633" s="16"/>
      <c r="H633" s="16"/>
      <c r="I633" s="16"/>
      <c r="J633" s="16"/>
      <c r="K633" s="16"/>
      <c r="L633" s="16"/>
      <c r="M633" s="16"/>
      <c r="N633" s="16"/>
      <c r="O633" s="16"/>
      <c r="P633" s="16"/>
      <c r="Q633" s="16"/>
      <c r="R633" s="16"/>
      <c r="S633" s="16"/>
      <c r="T633" s="16"/>
      <c r="U633" s="13"/>
      <c r="V633" s="16"/>
      <c r="W633" s="16"/>
      <c r="X633" s="16"/>
      <c r="Y633" s="8"/>
    </row>
    <row r="634" spans="1:25" ht="15.75" customHeight="1">
      <c r="A634" s="16"/>
      <c r="B634" s="16"/>
      <c r="C634" s="16"/>
      <c r="D634" s="16"/>
      <c r="E634" s="16"/>
      <c r="F634" s="16"/>
      <c r="G634" s="16"/>
      <c r="H634" s="16"/>
      <c r="I634" s="16"/>
      <c r="J634" s="16"/>
      <c r="K634" s="16"/>
      <c r="L634" s="16"/>
      <c r="M634" s="16"/>
      <c r="N634" s="16"/>
      <c r="O634" s="16"/>
      <c r="P634" s="16"/>
      <c r="Q634" s="16"/>
      <c r="R634" s="16"/>
      <c r="S634" s="16"/>
      <c r="T634" s="16"/>
      <c r="U634" s="13"/>
      <c r="V634" s="16"/>
      <c r="W634" s="16"/>
      <c r="X634" s="16"/>
      <c r="Y634" s="8"/>
    </row>
    <row r="635" spans="1:25" ht="15.75" customHeight="1">
      <c r="A635" s="16"/>
      <c r="B635" s="16"/>
      <c r="C635" s="16"/>
      <c r="D635" s="16"/>
      <c r="E635" s="16"/>
      <c r="F635" s="16"/>
      <c r="G635" s="16"/>
      <c r="H635" s="16"/>
      <c r="I635" s="16"/>
      <c r="J635" s="16"/>
      <c r="K635" s="16"/>
      <c r="L635" s="16"/>
      <c r="M635" s="16"/>
      <c r="N635" s="16"/>
      <c r="O635" s="16"/>
      <c r="P635" s="16"/>
      <c r="Q635" s="16"/>
      <c r="R635" s="16"/>
      <c r="S635" s="16"/>
      <c r="T635" s="16"/>
      <c r="U635" s="13"/>
      <c r="V635" s="16"/>
      <c r="W635" s="16"/>
      <c r="X635" s="16"/>
      <c r="Y635" s="8"/>
    </row>
    <row r="636" spans="1:25" ht="15.75" customHeight="1">
      <c r="A636" s="16"/>
      <c r="B636" s="16"/>
      <c r="C636" s="16"/>
      <c r="D636" s="16"/>
      <c r="E636" s="16"/>
      <c r="F636" s="16"/>
      <c r="G636" s="16"/>
      <c r="H636" s="16"/>
      <c r="I636" s="16"/>
      <c r="J636" s="16"/>
      <c r="K636" s="16"/>
      <c r="L636" s="16"/>
      <c r="M636" s="16"/>
      <c r="N636" s="16"/>
      <c r="O636" s="16"/>
      <c r="P636" s="16"/>
      <c r="Q636" s="16"/>
      <c r="R636" s="16"/>
      <c r="S636" s="16"/>
      <c r="T636" s="16"/>
      <c r="U636" s="13"/>
      <c r="V636" s="16"/>
      <c r="W636" s="16"/>
      <c r="X636" s="16"/>
      <c r="Y636" s="8"/>
    </row>
    <row r="637" spans="1:25" ht="15.75" customHeight="1">
      <c r="A637" s="16"/>
      <c r="B637" s="16"/>
      <c r="C637" s="16"/>
      <c r="D637" s="16"/>
      <c r="E637" s="16"/>
      <c r="F637" s="16"/>
      <c r="G637" s="16"/>
      <c r="H637" s="16"/>
      <c r="I637" s="16"/>
      <c r="J637" s="16"/>
      <c r="K637" s="16"/>
      <c r="L637" s="16"/>
      <c r="M637" s="16"/>
      <c r="N637" s="16"/>
      <c r="O637" s="16"/>
      <c r="P637" s="16"/>
      <c r="Q637" s="16"/>
      <c r="R637" s="16"/>
      <c r="S637" s="16"/>
      <c r="T637" s="16"/>
      <c r="U637" s="13"/>
      <c r="V637" s="16"/>
      <c r="W637" s="16"/>
      <c r="X637" s="16"/>
      <c r="Y637" s="8"/>
    </row>
    <row r="638" spans="1:25" ht="15.75" customHeight="1">
      <c r="A638" s="16"/>
      <c r="B638" s="16"/>
      <c r="C638" s="16"/>
      <c r="D638" s="16"/>
      <c r="E638" s="16"/>
      <c r="F638" s="16"/>
      <c r="G638" s="16"/>
      <c r="H638" s="16"/>
      <c r="I638" s="16"/>
      <c r="J638" s="16"/>
      <c r="K638" s="16"/>
      <c r="L638" s="16"/>
      <c r="M638" s="16"/>
      <c r="N638" s="16"/>
      <c r="O638" s="16"/>
      <c r="P638" s="16"/>
      <c r="Q638" s="16"/>
      <c r="R638" s="16"/>
      <c r="S638" s="16"/>
      <c r="T638" s="16"/>
      <c r="U638" s="13"/>
      <c r="V638" s="16"/>
      <c r="W638" s="16"/>
      <c r="X638" s="16"/>
      <c r="Y638" s="8"/>
    </row>
    <row r="639" spans="1:25" ht="15.75" customHeight="1">
      <c r="A639" s="16"/>
      <c r="B639" s="16"/>
      <c r="C639" s="16"/>
      <c r="D639" s="16"/>
      <c r="E639" s="16"/>
      <c r="F639" s="16"/>
      <c r="G639" s="16"/>
      <c r="H639" s="16"/>
      <c r="I639" s="16"/>
      <c r="J639" s="16"/>
      <c r="K639" s="16"/>
      <c r="L639" s="16"/>
      <c r="M639" s="16"/>
      <c r="N639" s="16"/>
      <c r="O639" s="16"/>
      <c r="P639" s="16"/>
      <c r="Q639" s="16"/>
      <c r="R639" s="16"/>
      <c r="S639" s="16"/>
      <c r="T639" s="16"/>
      <c r="U639" s="13"/>
      <c r="V639" s="16"/>
      <c r="W639" s="16"/>
      <c r="X639" s="16"/>
      <c r="Y639" s="8"/>
    </row>
    <row r="640" spans="1:25" ht="15.75" customHeight="1">
      <c r="A640" s="16"/>
      <c r="B640" s="16"/>
      <c r="C640" s="16"/>
      <c r="D640" s="16"/>
      <c r="E640" s="16"/>
      <c r="F640" s="16"/>
      <c r="G640" s="16"/>
      <c r="H640" s="16"/>
      <c r="I640" s="16"/>
      <c r="J640" s="16"/>
      <c r="K640" s="16"/>
      <c r="L640" s="16"/>
      <c r="M640" s="16"/>
      <c r="N640" s="16"/>
      <c r="O640" s="16"/>
      <c r="P640" s="16"/>
      <c r="Q640" s="16"/>
      <c r="R640" s="16"/>
      <c r="S640" s="16"/>
      <c r="T640" s="16"/>
      <c r="U640" s="13"/>
      <c r="V640" s="16"/>
      <c r="W640" s="16"/>
      <c r="X640" s="16"/>
      <c r="Y640" s="8"/>
    </row>
    <row r="641" spans="1:25" ht="15.75" customHeight="1">
      <c r="A641" s="16"/>
      <c r="B641" s="16"/>
      <c r="C641" s="16"/>
      <c r="D641" s="16"/>
      <c r="E641" s="16"/>
      <c r="F641" s="16"/>
      <c r="G641" s="16"/>
      <c r="H641" s="16"/>
      <c r="I641" s="16"/>
      <c r="J641" s="16"/>
      <c r="K641" s="16"/>
      <c r="L641" s="16"/>
      <c r="M641" s="16"/>
      <c r="N641" s="16"/>
      <c r="O641" s="16"/>
      <c r="P641" s="16"/>
      <c r="Q641" s="16"/>
      <c r="R641" s="16"/>
      <c r="S641" s="16"/>
      <c r="T641" s="16"/>
      <c r="U641" s="13"/>
      <c r="V641" s="16"/>
      <c r="W641" s="16"/>
      <c r="X641" s="16"/>
      <c r="Y641" s="8"/>
    </row>
    <row r="642" spans="1:25" ht="15.75" customHeight="1">
      <c r="A642" s="16"/>
      <c r="B642" s="16"/>
      <c r="C642" s="16"/>
      <c r="D642" s="16"/>
      <c r="E642" s="16"/>
      <c r="F642" s="16"/>
      <c r="G642" s="16"/>
      <c r="H642" s="16"/>
      <c r="I642" s="16"/>
      <c r="J642" s="16"/>
      <c r="K642" s="16"/>
      <c r="L642" s="16"/>
      <c r="M642" s="16"/>
      <c r="N642" s="16"/>
      <c r="O642" s="16"/>
      <c r="P642" s="16"/>
      <c r="Q642" s="16"/>
      <c r="R642" s="16"/>
      <c r="S642" s="16"/>
      <c r="T642" s="16"/>
      <c r="U642" s="13"/>
      <c r="V642" s="16"/>
      <c r="W642" s="16"/>
      <c r="X642" s="16"/>
      <c r="Y642" s="8"/>
    </row>
    <row r="643" spans="1:25" ht="15.75" customHeight="1">
      <c r="A643" s="16"/>
      <c r="B643" s="16"/>
      <c r="C643" s="16"/>
      <c r="D643" s="16"/>
      <c r="E643" s="16"/>
      <c r="F643" s="16"/>
      <c r="G643" s="16"/>
      <c r="H643" s="16"/>
      <c r="I643" s="16"/>
      <c r="J643" s="16"/>
      <c r="K643" s="16"/>
      <c r="L643" s="16"/>
      <c r="M643" s="16"/>
      <c r="N643" s="16"/>
      <c r="O643" s="16"/>
      <c r="P643" s="16"/>
      <c r="Q643" s="16"/>
      <c r="R643" s="16"/>
      <c r="S643" s="16"/>
      <c r="T643" s="16"/>
      <c r="U643" s="13"/>
      <c r="V643" s="16"/>
      <c r="W643" s="16"/>
      <c r="X643" s="16"/>
      <c r="Y643" s="8"/>
    </row>
    <row r="644" spans="1:25" ht="15.75" customHeight="1">
      <c r="A644" s="16"/>
      <c r="B644" s="16"/>
      <c r="C644" s="16"/>
      <c r="D644" s="16"/>
      <c r="E644" s="16"/>
      <c r="F644" s="16"/>
      <c r="G644" s="16"/>
      <c r="H644" s="16"/>
      <c r="I644" s="16"/>
      <c r="J644" s="16"/>
      <c r="K644" s="16"/>
      <c r="L644" s="16"/>
      <c r="M644" s="16"/>
      <c r="N644" s="16"/>
      <c r="O644" s="16"/>
      <c r="P644" s="16"/>
      <c r="Q644" s="16"/>
      <c r="R644" s="16"/>
      <c r="S644" s="16"/>
      <c r="T644" s="16"/>
      <c r="U644" s="13"/>
      <c r="V644" s="16"/>
      <c r="W644" s="16"/>
      <c r="X644" s="16"/>
      <c r="Y644" s="8"/>
    </row>
    <row r="645" spans="1:25" ht="15.75" customHeight="1">
      <c r="A645" s="16"/>
      <c r="B645" s="16"/>
      <c r="C645" s="16"/>
      <c r="D645" s="16"/>
      <c r="E645" s="16"/>
      <c r="F645" s="16"/>
      <c r="G645" s="16"/>
      <c r="H645" s="16"/>
      <c r="I645" s="16"/>
      <c r="J645" s="16"/>
      <c r="K645" s="16"/>
      <c r="L645" s="16"/>
      <c r="M645" s="16"/>
      <c r="N645" s="16"/>
      <c r="O645" s="16"/>
      <c r="P645" s="16"/>
      <c r="Q645" s="16"/>
      <c r="R645" s="16"/>
      <c r="S645" s="16"/>
      <c r="T645" s="16"/>
      <c r="U645" s="13"/>
      <c r="V645" s="16"/>
      <c r="W645" s="16"/>
      <c r="X645" s="16"/>
      <c r="Y645" s="8"/>
    </row>
    <row r="646" spans="1:25" ht="15.75" customHeight="1">
      <c r="A646" s="16"/>
      <c r="B646" s="16"/>
      <c r="C646" s="16"/>
      <c r="D646" s="16"/>
      <c r="E646" s="16"/>
      <c r="F646" s="16"/>
      <c r="G646" s="16"/>
      <c r="H646" s="16"/>
      <c r="I646" s="16"/>
      <c r="J646" s="16"/>
      <c r="K646" s="16"/>
      <c r="L646" s="16"/>
      <c r="M646" s="16"/>
      <c r="N646" s="16"/>
      <c r="O646" s="16"/>
      <c r="P646" s="16"/>
      <c r="Q646" s="16"/>
      <c r="R646" s="16"/>
      <c r="S646" s="16"/>
      <c r="T646" s="16"/>
      <c r="U646" s="13"/>
      <c r="V646" s="16"/>
      <c r="W646" s="16"/>
      <c r="X646" s="16"/>
      <c r="Y646" s="8"/>
    </row>
    <row r="647" spans="1:25" ht="15.75" customHeight="1">
      <c r="A647" s="16"/>
      <c r="B647" s="16"/>
      <c r="C647" s="16"/>
      <c r="D647" s="16"/>
      <c r="E647" s="16"/>
      <c r="F647" s="16"/>
      <c r="G647" s="16"/>
      <c r="H647" s="16"/>
      <c r="I647" s="16"/>
      <c r="J647" s="16"/>
      <c r="K647" s="16"/>
      <c r="L647" s="16"/>
      <c r="M647" s="16"/>
      <c r="N647" s="16"/>
      <c r="O647" s="16"/>
      <c r="P647" s="16"/>
      <c r="Q647" s="16"/>
      <c r="R647" s="16"/>
      <c r="S647" s="16"/>
      <c r="T647" s="16"/>
      <c r="U647" s="13"/>
      <c r="V647" s="16"/>
      <c r="W647" s="16"/>
      <c r="X647" s="16"/>
      <c r="Y647" s="8"/>
    </row>
    <row r="648" spans="1:25" ht="15.75" customHeight="1">
      <c r="A648" s="16"/>
      <c r="B648" s="16"/>
      <c r="C648" s="16"/>
      <c r="D648" s="16"/>
      <c r="E648" s="16"/>
      <c r="F648" s="16"/>
      <c r="G648" s="16"/>
      <c r="H648" s="16"/>
      <c r="I648" s="16"/>
      <c r="J648" s="16"/>
      <c r="K648" s="16"/>
      <c r="L648" s="16"/>
      <c r="M648" s="16"/>
      <c r="N648" s="16"/>
      <c r="O648" s="16"/>
      <c r="P648" s="16"/>
      <c r="Q648" s="16"/>
      <c r="R648" s="16"/>
      <c r="S648" s="16"/>
      <c r="T648" s="16"/>
      <c r="U648" s="13"/>
      <c r="V648" s="16"/>
      <c r="W648" s="16"/>
      <c r="X648" s="16"/>
      <c r="Y648" s="8"/>
    </row>
    <row r="649" spans="1:25" ht="15.75" customHeight="1">
      <c r="A649" s="16"/>
      <c r="B649" s="16"/>
      <c r="C649" s="16"/>
      <c r="D649" s="16"/>
      <c r="E649" s="16"/>
      <c r="F649" s="16"/>
      <c r="G649" s="16"/>
      <c r="H649" s="16"/>
      <c r="I649" s="16"/>
      <c r="J649" s="16"/>
      <c r="K649" s="16"/>
      <c r="L649" s="16"/>
      <c r="M649" s="16"/>
      <c r="N649" s="16"/>
      <c r="O649" s="16"/>
      <c r="P649" s="16"/>
      <c r="Q649" s="16"/>
      <c r="R649" s="16"/>
      <c r="S649" s="16"/>
      <c r="T649" s="16"/>
      <c r="U649" s="13"/>
      <c r="V649" s="16"/>
      <c r="W649" s="16"/>
      <c r="X649" s="16"/>
      <c r="Y649" s="8"/>
    </row>
    <row r="650" spans="1:25" ht="15.75" customHeight="1">
      <c r="A650" s="16"/>
      <c r="B650" s="16"/>
      <c r="C650" s="16"/>
      <c r="D650" s="16"/>
      <c r="E650" s="16"/>
      <c r="F650" s="16"/>
      <c r="G650" s="16"/>
      <c r="H650" s="16"/>
      <c r="I650" s="16"/>
      <c r="J650" s="16"/>
      <c r="K650" s="16"/>
      <c r="L650" s="16"/>
      <c r="M650" s="16"/>
      <c r="N650" s="16"/>
      <c r="O650" s="16"/>
      <c r="P650" s="16"/>
      <c r="Q650" s="16"/>
      <c r="R650" s="16"/>
      <c r="S650" s="16"/>
      <c r="T650" s="16"/>
      <c r="U650" s="13"/>
      <c r="V650" s="16"/>
      <c r="W650" s="16"/>
      <c r="X650" s="16"/>
      <c r="Y650" s="8"/>
    </row>
    <row r="651" spans="1:25" ht="15.75" customHeight="1">
      <c r="A651" s="16"/>
      <c r="B651" s="16"/>
      <c r="C651" s="16"/>
      <c r="D651" s="16"/>
      <c r="E651" s="16"/>
      <c r="F651" s="16"/>
      <c r="G651" s="16"/>
      <c r="H651" s="16"/>
      <c r="I651" s="16"/>
      <c r="J651" s="16"/>
      <c r="K651" s="16"/>
      <c r="L651" s="16"/>
      <c r="M651" s="16"/>
      <c r="N651" s="16"/>
      <c r="O651" s="16"/>
      <c r="P651" s="16"/>
      <c r="Q651" s="16"/>
      <c r="R651" s="16"/>
      <c r="S651" s="16"/>
      <c r="T651" s="16"/>
      <c r="U651" s="13"/>
      <c r="V651" s="16"/>
      <c r="W651" s="16"/>
      <c r="X651" s="16"/>
      <c r="Y651" s="8"/>
    </row>
    <row r="652" spans="1:25" ht="15.75" customHeight="1">
      <c r="A652" s="16"/>
      <c r="B652" s="16"/>
      <c r="C652" s="16"/>
      <c r="D652" s="16"/>
      <c r="E652" s="16"/>
      <c r="F652" s="16"/>
      <c r="G652" s="16"/>
      <c r="H652" s="16"/>
      <c r="I652" s="16"/>
      <c r="J652" s="16"/>
      <c r="K652" s="16"/>
      <c r="L652" s="16"/>
      <c r="M652" s="16"/>
      <c r="N652" s="16"/>
      <c r="O652" s="16"/>
      <c r="P652" s="16"/>
      <c r="Q652" s="16"/>
      <c r="R652" s="16"/>
      <c r="S652" s="16"/>
      <c r="T652" s="16"/>
      <c r="U652" s="13"/>
      <c r="V652" s="16"/>
      <c r="W652" s="16"/>
      <c r="X652" s="16"/>
      <c r="Y652" s="8"/>
    </row>
    <row r="653" spans="1:25" ht="15.75" customHeight="1">
      <c r="A653" s="16"/>
      <c r="B653" s="16"/>
      <c r="C653" s="16"/>
      <c r="D653" s="16"/>
      <c r="E653" s="16"/>
      <c r="F653" s="16"/>
      <c r="G653" s="16"/>
      <c r="H653" s="16"/>
      <c r="I653" s="16"/>
      <c r="J653" s="16"/>
      <c r="K653" s="16"/>
      <c r="L653" s="16"/>
      <c r="M653" s="16"/>
      <c r="N653" s="16"/>
      <c r="O653" s="16"/>
      <c r="P653" s="16"/>
      <c r="Q653" s="16"/>
      <c r="R653" s="16"/>
      <c r="S653" s="16"/>
      <c r="T653" s="16"/>
      <c r="U653" s="13"/>
      <c r="V653" s="16"/>
      <c r="W653" s="16"/>
      <c r="X653" s="16"/>
      <c r="Y653" s="8"/>
    </row>
    <row r="654" spans="1:25" ht="15.75" customHeight="1">
      <c r="A654" s="16"/>
      <c r="B654" s="16"/>
      <c r="C654" s="16"/>
      <c r="D654" s="16"/>
      <c r="E654" s="16"/>
      <c r="F654" s="16"/>
      <c r="G654" s="16"/>
      <c r="H654" s="16"/>
      <c r="I654" s="16"/>
      <c r="J654" s="16"/>
      <c r="K654" s="16"/>
      <c r="L654" s="16"/>
      <c r="M654" s="16"/>
      <c r="N654" s="16"/>
      <c r="O654" s="16"/>
      <c r="P654" s="16"/>
      <c r="Q654" s="16"/>
      <c r="R654" s="16"/>
      <c r="S654" s="16"/>
      <c r="T654" s="16"/>
      <c r="U654" s="13"/>
      <c r="V654" s="16"/>
      <c r="W654" s="16"/>
      <c r="X654" s="16"/>
      <c r="Y654" s="8"/>
    </row>
    <row r="655" spans="1:25" ht="15.75" customHeight="1">
      <c r="A655" s="16"/>
      <c r="B655" s="16"/>
      <c r="C655" s="16"/>
      <c r="D655" s="16"/>
      <c r="E655" s="16"/>
      <c r="F655" s="16"/>
      <c r="G655" s="16"/>
      <c r="H655" s="16"/>
      <c r="I655" s="16"/>
      <c r="J655" s="16"/>
      <c r="K655" s="16"/>
      <c r="L655" s="16"/>
      <c r="M655" s="16"/>
      <c r="N655" s="16"/>
      <c r="O655" s="16"/>
      <c r="P655" s="16"/>
      <c r="Q655" s="16"/>
      <c r="R655" s="16"/>
      <c r="S655" s="16"/>
      <c r="T655" s="16"/>
      <c r="U655" s="13"/>
      <c r="V655" s="16"/>
      <c r="W655" s="16"/>
      <c r="X655" s="16"/>
      <c r="Y655" s="8"/>
    </row>
    <row r="656" spans="1:25" ht="15.75" customHeight="1">
      <c r="A656" s="16"/>
      <c r="B656" s="16"/>
      <c r="C656" s="16"/>
      <c r="D656" s="16"/>
      <c r="E656" s="16"/>
      <c r="F656" s="16"/>
      <c r="G656" s="16"/>
      <c r="H656" s="16"/>
      <c r="I656" s="16"/>
      <c r="J656" s="16"/>
      <c r="K656" s="16"/>
      <c r="L656" s="16"/>
      <c r="M656" s="16"/>
      <c r="N656" s="16"/>
      <c r="O656" s="16"/>
      <c r="P656" s="16"/>
      <c r="Q656" s="16"/>
      <c r="R656" s="16"/>
      <c r="S656" s="16"/>
      <c r="T656" s="16"/>
      <c r="U656" s="13"/>
      <c r="V656" s="16"/>
      <c r="W656" s="16"/>
      <c r="X656" s="16"/>
      <c r="Y656" s="8"/>
    </row>
    <row r="657" spans="1:25" ht="15.75" customHeight="1">
      <c r="A657" s="16"/>
      <c r="B657" s="16"/>
      <c r="C657" s="16"/>
      <c r="D657" s="16"/>
      <c r="E657" s="16"/>
      <c r="F657" s="16"/>
      <c r="G657" s="16"/>
      <c r="H657" s="16"/>
      <c r="I657" s="16"/>
      <c r="J657" s="16"/>
      <c r="K657" s="16"/>
      <c r="L657" s="16"/>
      <c r="M657" s="16"/>
      <c r="N657" s="16"/>
      <c r="O657" s="16"/>
      <c r="P657" s="16"/>
      <c r="Q657" s="16"/>
      <c r="R657" s="16"/>
      <c r="S657" s="16"/>
      <c r="T657" s="16"/>
      <c r="U657" s="13"/>
      <c r="V657" s="16"/>
      <c r="W657" s="16"/>
      <c r="X657" s="16"/>
      <c r="Y657" s="8"/>
    </row>
    <row r="658" spans="1:25" ht="15.75" customHeight="1">
      <c r="A658" s="16"/>
      <c r="B658" s="16"/>
      <c r="C658" s="16"/>
      <c r="D658" s="16"/>
      <c r="E658" s="16"/>
      <c r="F658" s="16"/>
      <c r="G658" s="16"/>
      <c r="H658" s="16"/>
      <c r="I658" s="16"/>
      <c r="J658" s="16"/>
      <c r="K658" s="16"/>
      <c r="L658" s="16"/>
      <c r="M658" s="16"/>
      <c r="N658" s="16"/>
      <c r="O658" s="16"/>
      <c r="P658" s="16"/>
      <c r="Q658" s="16"/>
      <c r="R658" s="16"/>
      <c r="S658" s="16"/>
      <c r="T658" s="16"/>
      <c r="U658" s="13"/>
      <c r="V658" s="16"/>
      <c r="W658" s="16"/>
      <c r="X658" s="16"/>
      <c r="Y658" s="8"/>
    </row>
    <row r="659" spans="1:25" ht="15.75" customHeight="1">
      <c r="A659" s="16"/>
      <c r="B659" s="16"/>
      <c r="C659" s="16"/>
      <c r="D659" s="16"/>
      <c r="E659" s="16"/>
      <c r="F659" s="16"/>
      <c r="G659" s="16"/>
      <c r="H659" s="16"/>
      <c r="I659" s="16"/>
      <c r="J659" s="16"/>
      <c r="K659" s="16"/>
      <c r="L659" s="16"/>
      <c r="M659" s="16"/>
      <c r="N659" s="16"/>
      <c r="O659" s="16"/>
      <c r="P659" s="16"/>
      <c r="Q659" s="16"/>
      <c r="R659" s="16"/>
      <c r="S659" s="16"/>
      <c r="T659" s="16"/>
      <c r="U659" s="13"/>
      <c r="V659" s="16"/>
      <c r="W659" s="16"/>
      <c r="X659" s="16"/>
      <c r="Y659" s="8"/>
    </row>
    <row r="660" spans="1:25" ht="15.75" customHeight="1">
      <c r="A660" s="16"/>
      <c r="B660" s="16"/>
      <c r="C660" s="16"/>
      <c r="D660" s="16"/>
      <c r="E660" s="16"/>
      <c r="F660" s="16"/>
      <c r="G660" s="16"/>
      <c r="H660" s="16"/>
      <c r="I660" s="16"/>
      <c r="J660" s="16"/>
      <c r="K660" s="16"/>
      <c r="L660" s="16"/>
      <c r="M660" s="16"/>
      <c r="N660" s="16"/>
      <c r="O660" s="16"/>
      <c r="P660" s="16"/>
      <c r="Q660" s="16"/>
      <c r="R660" s="16"/>
      <c r="S660" s="16"/>
      <c r="T660" s="16"/>
      <c r="U660" s="13"/>
      <c r="V660" s="16"/>
      <c r="W660" s="16"/>
      <c r="X660" s="16"/>
      <c r="Y660" s="8"/>
    </row>
    <row r="661" spans="1:25" ht="15.75" customHeight="1">
      <c r="A661" s="16"/>
      <c r="B661" s="16"/>
      <c r="C661" s="16"/>
      <c r="D661" s="16"/>
      <c r="E661" s="16"/>
      <c r="F661" s="16"/>
      <c r="G661" s="16"/>
      <c r="H661" s="16"/>
      <c r="I661" s="16"/>
      <c r="J661" s="16"/>
      <c r="K661" s="16"/>
      <c r="L661" s="16"/>
      <c r="M661" s="16"/>
      <c r="N661" s="16"/>
      <c r="O661" s="16"/>
      <c r="P661" s="16"/>
      <c r="Q661" s="16"/>
      <c r="R661" s="16"/>
      <c r="S661" s="16"/>
      <c r="T661" s="16"/>
      <c r="U661" s="13"/>
      <c r="V661" s="16"/>
      <c r="W661" s="16"/>
      <c r="X661" s="16"/>
      <c r="Y661" s="8"/>
    </row>
    <row r="662" spans="1:25" ht="15.75" customHeight="1">
      <c r="A662" s="16"/>
      <c r="B662" s="16"/>
      <c r="C662" s="16"/>
      <c r="D662" s="16"/>
      <c r="E662" s="16"/>
      <c r="F662" s="16"/>
      <c r="G662" s="16"/>
      <c r="H662" s="16"/>
      <c r="I662" s="16"/>
      <c r="J662" s="16"/>
      <c r="K662" s="16"/>
      <c r="L662" s="16"/>
      <c r="M662" s="16"/>
      <c r="N662" s="16"/>
      <c r="O662" s="16"/>
      <c r="P662" s="16"/>
      <c r="Q662" s="16"/>
      <c r="R662" s="16"/>
      <c r="S662" s="16"/>
      <c r="T662" s="16"/>
      <c r="U662" s="13"/>
      <c r="V662" s="16"/>
      <c r="W662" s="16"/>
      <c r="X662" s="16"/>
      <c r="Y662" s="8"/>
    </row>
    <row r="663" spans="1:25" ht="15.75" customHeight="1">
      <c r="A663" s="16"/>
      <c r="B663" s="16"/>
      <c r="C663" s="16"/>
      <c r="D663" s="16"/>
      <c r="E663" s="16"/>
      <c r="F663" s="16"/>
      <c r="G663" s="16"/>
      <c r="H663" s="16"/>
      <c r="I663" s="16"/>
      <c r="J663" s="16"/>
      <c r="K663" s="16"/>
      <c r="L663" s="16"/>
      <c r="M663" s="16"/>
      <c r="N663" s="16"/>
      <c r="O663" s="16"/>
      <c r="P663" s="16"/>
      <c r="Q663" s="16"/>
      <c r="R663" s="16"/>
      <c r="S663" s="16"/>
      <c r="T663" s="16"/>
      <c r="U663" s="13"/>
      <c r="V663" s="16"/>
      <c r="W663" s="16"/>
      <c r="X663" s="16"/>
      <c r="Y663" s="8"/>
    </row>
    <row r="664" spans="1:25" ht="15.75" customHeight="1">
      <c r="A664" s="16"/>
      <c r="B664" s="16"/>
      <c r="C664" s="16"/>
      <c r="D664" s="16"/>
      <c r="E664" s="16"/>
      <c r="F664" s="16"/>
      <c r="G664" s="16"/>
      <c r="H664" s="16"/>
      <c r="I664" s="16"/>
      <c r="J664" s="16"/>
      <c r="K664" s="16"/>
      <c r="L664" s="16"/>
      <c r="M664" s="16"/>
      <c r="N664" s="16"/>
      <c r="O664" s="16"/>
      <c r="P664" s="16"/>
      <c r="Q664" s="16"/>
      <c r="R664" s="16"/>
      <c r="S664" s="16"/>
      <c r="T664" s="16"/>
      <c r="U664" s="13"/>
      <c r="V664" s="16"/>
      <c r="W664" s="16"/>
      <c r="X664" s="16"/>
      <c r="Y664" s="8"/>
    </row>
    <row r="665" spans="1:25" ht="15.75" customHeight="1">
      <c r="A665" s="16"/>
      <c r="B665" s="16"/>
      <c r="C665" s="16"/>
      <c r="D665" s="16"/>
      <c r="E665" s="16"/>
      <c r="F665" s="16"/>
      <c r="G665" s="16"/>
      <c r="H665" s="16"/>
      <c r="I665" s="16"/>
      <c r="J665" s="16"/>
      <c r="K665" s="16"/>
      <c r="L665" s="16"/>
      <c r="M665" s="16"/>
      <c r="N665" s="16"/>
      <c r="O665" s="16"/>
      <c r="P665" s="16"/>
      <c r="Q665" s="16"/>
      <c r="R665" s="16"/>
      <c r="S665" s="16"/>
      <c r="T665" s="16"/>
      <c r="U665" s="13"/>
      <c r="V665" s="16"/>
      <c r="W665" s="16"/>
      <c r="X665" s="16"/>
      <c r="Y665" s="8"/>
    </row>
    <row r="666" spans="1:25" ht="15.75" customHeight="1">
      <c r="A666" s="16"/>
      <c r="B666" s="16"/>
      <c r="C666" s="16"/>
      <c r="D666" s="16"/>
      <c r="E666" s="16"/>
      <c r="F666" s="16"/>
      <c r="G666" s="16"/>
      <c r="H666" s="16"/>
      <c r="I666" s="16"/>
      <c r="J666" s="16"/>
      <c r="K666" s="16"/>
      <c r="L666" s="16"/>
      <c r="M666" s="16"/>
      <c r="N666" s="16"/>
      <c r="O666" s="16"/>
      <c r="P666" s="16"/>
      <c r="Q666" s="16"/>
      <c r="R666" s="16"/>
      <c r="S666" s="16"/>
      <c r="T666" s="16"/>
      <c r="U666" s="13"/>
      <c r="V666" s="16"/>
      <c r="W666" s="16"/>
      <c r="X666" s="16"/>
      <c r="Y666" s="8"/>
    </row>
    <row r="667" spans="1:25" ht="15.75" customHeight="1">
      <c r="A667" s="16"/>
      <c r="B667" s="16"/>
      <c r="C667" s="16"/>
      <c r="D667" s="16"/>
      <c r="E667" s="16"/>
      <c r="F667" s="16"/>
      <c r="G667" s="16"/>
      <c r="H667" s="16"/>
      <c r="I667" s="16"/>
      <c r="J667" s="16"/>
      <c r="K667" s="16"/>
      <c r="L667" s="16"/>
      <c r="M667" s="16"/>
      <c r="N667" s="16"/>
      <c r="O667" s="16"/>
      <c r="P667" s="16"/>
      <c r="Q667" s="16"/>
      <c r="R667" s="16"/>
      <c r="S667" s="16"/>
      <c r="T667" s="16"/>
      <c r="U667" s="13"/>
      <c r="V667" s="16"/>
      <c r="W667" s="16"/>
      <c r="X667" s="16"/>
      <c r="Y667" s="8"/>
    </row>
    <row r="668" spans="1:25" ht="15.75" customHeight="1">
      <c r="A668" s="16"/>
      <c r="B668" s="16"/>
      <c r="C668" s="16"/>
      <c r="D668" s="16"/>
      <c r="E668" s="16"/>
      <c r="F668" s="16"/>
      <c r="G668" s="16"/>
      <c r="H668" s="16"/>
      <c r="I668" s="16"/>
      <c r="J668" s="16"/>
      <c r="K668" s="16"/>
      <c r="L668" s="16"/>
      <c r="M668" s="16"/>
      <c r="N668" s="16"/>
      <c r="O668" s="16"/>
      <c r="P668" s="16"/>
      <c r="Q668" s="16"/>
      <c r="R668" s="16"/>
      <c r="S668" s="16"/>
      <c r="T668" s="16"/>
      <c r="U668" s="13"/>
      <c r="V668" s="16"/>
      <c r="W668" s="16"/>
      <c r="X668" s="16"/>
      <c r="Y668" s="8"/>
    </row>
    <row r="669" spans="1:25" ht="15.75" customHeight="1">
      <c r="A669" s="16"/>
      <c r="B669" s="16"/>
      <c r="C669" s="16"/>
      <c r="D669" s="16"/>
      <c r="E669" s="16"/>
      <c r="F669" s="16"/>
      <c r="G669" s="16"/>
      <c r="H669" s="16"/>
      <c r="I669" s="16"/>
      <c r="J669" s="16"/>
      <c r="K669" s="16"/>
      <c r="L669" s="16"/>
      <c r="M669" s="16"/>
      <c r="N669" s="16"/>
      <c r="O669" s="16"/>
      <c r="P669" s="16"/>
      <c r="Q669" s="16"/>
      <c r="R669" s="16"/>
      <c r="S669" s="16"/>
      <c r="T669" s="16"/>
      <c r="U669" s="13"/>
      <c r="V669" s="16"/>
      <c r="W669" s="16"/>
      <c r="X669" s="16"/>
      <c r="Y669" s="8"/>
    </row>
    <row r="670" spans="1:25" ht="15.75" customHeight="1">
      <c r="A670" s="16"/>
      <c r="B670" s="16"/>
      <c r="C670" s="16"/>
      <c r="D670" s="16"/>
      <c r="E670" s="16"/>
      <c r="F670" s="16"/>
      <c r="G670" s="16"/>
      <c r="H670" s="16"/>
      <c r="I670" s="16"/>
      <c r="J670" s="16"/>
      <c r="K670" s="16"/>
      <c r="L670" s="16"/>
      <c r="M670" s="16"/>
      <c r="N670" s="16"/>
      <c r="O670" s="16"/>
      <c r="P670" s="16"/>
      <c r="Q670" s="16"/>
      <c r="R670" s="16"/>
      <c r="S670" s="16"/>
      <c r="T670" s="16"/>
      <c r="U670" s="13"/>
      <c r="V670" s="16"/>
      <c r="W670" s="16"/>
      <c r="X670" s="16"/>
      <c r="Y670" s="8"/>
    </row>
    <row r="671" spans="1:25" ht="15.75" customHeight="1">
      <c r="A671" s="16"/>
      <c r="B671" s="16"/>
      <c r="C671" s="16"/>
      <c r="D671" s="16"/>
      <c r="E671" s="16"/>
      <c r="F671" s="16"/>
      <c r="G671" s="16"/>
      <c r="H671" s="16"/>
      <c r="I671" s="16"/>
      <c r="J671" s="16"/>
      <c r="K671" s="16"/>
      <c r="L671" s="16"/>
      <c r="M671" s="16"/>
      <c r="N671" s="16"/>
      <c r="O671" s="16"/>
      <c r="P671" s="16"/>
      <c r="Q671" s="16"/>
      <c r="R671" s="16"/>
      <c r="S671" s="16"/>
      <c r="T671" s="16"/>
      <c r="U671" s="13"/>
      <c r="V671" s="16"/>
      <c r="W671" s="16"/>
      <c r="X671" s="16"/>
      <c r="Y671" s="8"/>
    </row>
    <row r="672" spans="1:25" ht="15.75" customHeight="1">
      <c r="A672" s="16"/>
      <c r="B672" s="16"/>
      <c r="C672" s="16"/>
      <c r="D672" s="16"/>
      <c r="E672" s="16"/>
      <c r="F672" s="16"/>
      <c r="G672" s="16"/>
      <c r="H672" s="16"/>
      <c r="I672" s="16"/>
      <c r="J672" s="16"/>
      <c r="K672" s="16"/>
      <c r="L672" s="16"/>
      <c r="M672" s="16"/>
      <c r="N672" s="16"/>
      <c r="O672" s="16"/>
      <c r="P672" s="16"/>
      <c r="Q672" s="16"/>
      <c r="R672" s="16"/>
      <c r="S672" s="16"/>
      <c r="T672" s="16"/>
      <c r="U672" s="13"/>
      <c r="V672" s="16"/>
      <c r="W672" s="16"/>
      <c r="X672" s="16"/>
      <c r="Y672" s="8"/>
    </row>
    <row r="673" spans="1:25" ht="15.75" customHeight="1">
      <c r="A673" s="16"/>
      <c r="B673" s="16"/>
      <c r="C673" s="16"/>
      <c r="D673" s="16"/>
      <c r="E673" s="16"/>
      <c r="F673" s="16"/>
      <c r="G673" s="16"/>
      <c r="H673" s="16"/>
      <c r="I673" s="16"/>
      <c r="J673" s="16"/>
      <c r="K673" s="16"/>
      <c r="L673" s="16"/>
      <c r="M673" s="16"/>
      <c r="N673" s="16"/>
      <c r="O673" s="16"/>
      <c r="P673" s="16"/>
      <c r="Q673" s="16"/>
      <c r="R673" s="16"/>
      <c r="S673" s="16"/>
      <c r="T673" s="16"/>
      <c r="U673" s="13"/>
      <c r="V673" s="16"/>
      <c r="W673" s="16"/>
      <c r="X673" s="16"/>
      <c r="Y673" s="8"/>
    </row>
    <row r="674" spans="1:25" ht="15.75" customHeight="1">
      <c r="A674" s="16"/>
      <c r="B674" s="16"/>
      <c r="C674" s="16"/>
      <c r="D674" s="16"/>
      <c r="E674" s="16"/>
      <c r="F674" s="16"/>
      <c r="G674" s="16"/>
      <c r="H674" s="16"/>
      <c r="I674" s="16"/>
      <c r="J674" s="16"/>
      <c r="K674" s="16"/>
      <c r="L674" s="16"/>
      <c r="M674" s="16"/>
      <c r="N674" s="16"/>
      <c r="O674" s="16"/>
      <c r="P674" s="16"/>
      <c r="Q674" s="16"/>
      <c r="R674" s="16"/>
      <c r="S674" s="16"/>
      <c r="T674" s="16"/>
      <c r="U674" s="13"/>
      <c r="V674" s="16"/>
      <c r="W674" s="16"/>
      <c r="X674" s="16"/>
      <c r="Y674" s="8"/>
    </row>
    <row r="675" spans="1:25" ht="15.75" customHeight="1">
      <c r="A675" s="16"/>
      <c r="B675" s="16"/>
      <c r="C675" s="16"/>
      <c r="D675" s="16"/>
      <c r="E675" s="16"/>
      <c r="F675" s="16"/>
      <c r="G675" s="16"/>
      <c r="H675" s="16"/>
      <c r="I675" s="16"/>
      <c r="J675" s="16"/>
      <c r="K675" s="16"/>
      <c r="L675" s="16"/>
      <c r="M675" s="16"/>
      <c r="N675" s="16"/>
      <c r="O675" s="16"/>
      <c r="P675" s="16"/>
      <c r="Q675" s="16"/>
      <c r="R675" s="16"/>
      <c r="S675" s="16"/>
      <c r="T675" s="16"/>
      <c r="U675" s="13"/>
      <c r="V675" s="16"/>
      <c r="W675" s="16"/>
      <c r="X675" s="16"/>
      <c r="Y675" s="8"/>
    </row>
    <row r="676" spans="1:25" ht="15.75" customHeight="1">
      <c r="A676" s="16"/>
      <c r="B676" s="16"/>
      <c r="C676" s="16"/>
      <c r="D676" s="16"/>
      <c r="E676" s="16"/>
      <c r="F676" s="16"/>
      <c r="G676" s="16"/>
      <c r="H676" s="16"/>
      <c r="I676" s="16"/>
      <c r="J676" s="16"/>
      <c r="K676" s="16"/>
      <c r="L676" s="16"/>
      <c r="M676" s="16"/>
      <c r="N676" s="16"/>
      <c r="O676" s="16"/>
      <c r="P676" s="16"/>
      <c r="Q676" s="16"/>
      <c r="R676" s="16"/>
      <c r="S676" s="16"/>
      <c r="T676" s="16"/>
      <c r="U676" s="13"/>
      <c r="V676" s="16"/>
      <c r="W676" s="16"/>
      <c r="X676" s="16"/>
      <c r="Y676" s="8"/>
    </row>
    <row r="677" spans="1:25" ht="15.75" customHeight="1">
      <c r="A677" s="16"/>
      <c r="B677" s="16"/>
      <c r="C677" s="16"/>
      <c r="D677" s="16"/>
      <c r="E677" s="16"/>
      <c r="F677" s="16"/>
      <c r="G677" s="16"/>
      <c r="H677" s="16"/>
      <c r="I677" s="16"/>
      <c r="J677" s="16"/>
      <c r="K677" s="16"/>
      <c r="L677" s="16"/>
      <c r="M677" s="16"/>
      <c r="N677" s="16"/>
      <c r="O677" s="16"/>
      <c r="P677" s="16"/>
      <c r="Q677" s="16"/>
      <c r="R677" s="16"/>
      <c r="S677" s="16"/>
      <c r="T677" s="16"/>
      <c r="U677" s="13"/>
      <c r="V677" s="16"/>
      <c r="W677" s="16"/>
      <c r="X677" s="16"/>
      <c r="Y677" s="8"/>
    </row>
    <row r="678" spans="1:25" ht="15.75" customHeight="1">
      <c r="A678" s="16"/>
      <c r="B678" s="16"/>
      <c r="C678" s="16"/>
      <c r="D678" s="16"/>
      <c r="E678" s="16"/>
      <c r="F678" s="16"/>
      <c r="G678" s="16"/>
      <c r="H678" s="16"/>
      <c r="I678" s="16"/>
      <c r="J678" s="16"/>
      <c r="K678" s="16"/>
      <c r="L678" s="16"/>
      <c r="M678" s="16"/>
      <c r="N678" s="16"/>
      <c r="O678" s="16"/>
      <c r="P678" s="16"/>
      <c r="Q678" s="16"/>
      <c r="R678" s="16"/>
      <c r="S678" s="16"/>
      <c r="T678" s="16"/>
      <c r="U678" s="13"/>
      <c r="V678" s="16"/>
      <c r="W678" s="16"/>
      <c r="X678" s="16"/>
      <c r="Y678" s="8"/>
    </row>
    <row r="679" spans="1:25" ht="15.75" customHeight="1">
      <c r="A679" s="16"/>
      <c r="B679" s="16"/>
      <c r="C679" s="16"/>
      <c r="D679" s="16"/>
      <c r="E679" s="16"/>
      <c r="F679" s="16"/>
      <c r="G679" s="16"/>
      <c r="H679" s="16"/>
      <c r="I679" s="16"/>
      <c r="J679" s="16"/>
      <c r="K679" s="16"/>
      <c r="L679" s="16"/>
      <c r="M679" s="16"/>
      <c r="N679" s="16"/>
      <c r="O679" s="16"/>
      <c r="P679" s="16"/>
      <c r="Q679" s="16"/>
      <c r="R679" s="16"/>
      <c r="S679" s="16"/>
      <c r="T679" s="16"/>
      <c r="U679" s="13"/>
      <c r="V679" s="16"/>
      <c r="W679" s="16"/>
      <c r="X679" s="16"/>
      <c r="Y679" s="8"/>
    </row>
    <row r="680" spans="1:25" ht="15.75" customHeight="1">
      <c r="A680" s="16"/>
      <c r="B680" s="16"/>
      <c r="C680" s="16"/>
      <c r="D680" s="16"/>
      <c r="E680" s="16"/>
      <c r="F680" s="16"/>
      <c r="G680" s="16"/>
      <c r="H680" s="16"/>
      <c r="I680" s="16"/>
      <c r="J680" s="16"/>
      <c r="K680" s="16"/>
      <c r="L680" s="16"/>
      <c r="M680" s="16"/>
      <c r="N680" s="16"/>
      <c r="O680" s="16"/>
      <c r="P680" s="16"/>
      <c r="Q680" s="16"/>
      <c r="R680" s="16"/>
      <c r="S680" s="16"/>
      <c r="T680" s="16"/>
      <c r="U680" s="13"/>
      <c r="V680" s="16"/>
      <c r="W680" s="16"/>
      <c r="X680" s="16"/>
      <c r="Y680" s="8"/>
    </row>
    <row r="681" spans="1:25" ht="15.75" customHeight="1">
      <c r="A681" s="16"/>
      <c r="B681" s="16"/>
      <c r="C681" s="16"/>
      <c r="D681" s="16"/>
      <c r="E681" s="16"/>
      <c r="F681" s="16"/>
      <c r="G681" s="16"/>
      <c r="H681" s="16"/>
      <c r="I681" s="16"/>
      <c r="J681" s="16"/>
      <c r="K681" s="16"/>
      <c r="L681" s="16"/>
      <c r="M681" s="16"/>
      <c r="N681" s="16"/>
      <c r="O681" s="16"/>
      <c r="P681" s="16"/>
      <c r="Q681" s="16"/>
      <c r="R681" s="16"/>
      <c r="S681" s="16"/>
      <c r="T681" s="16"/>
      <c r="U681" s="13"/>
      <c r="V681" s="16"/>
      <c r="W681" s="16"/>
      <c r="X681" s="16"/>
      <c r="Y681" s="8"/>
    </row>
    <row r="682" spans="1:25" ht="15.75" customHeight="1">
      <c r="A682" s="16"/>
      <c r="B682" s="16"/>
      <c r="C682" s="16"/>
      <c r="D682" s="16"/>
      <c r="E682" s="16"/>
      <c r="F682" s="16"/>
      <c r="G682" s="16"/>
      <c r="H682" s="16"/>
      <c r="I682" s="16"/>
      <c r="J682" s="16"/>
      <c r="K682" s="16"/>
      <c r="L682" s="16"/>
      <c r="M682" s="16"/>
      <c r="N682" s="16"/>
      <c r="O682" s="16"/>
      <c r="P682" s="16"/>
      <c r="Q682" s="16"/>
      <c r="R682" s="16"/>
      <c r="S682" s="16"/>
      <c r="T682" s="16"/>
      <c r="U682" s="13"/>
      <c r="V682" s="16"/>
      <c r="W682" s="16"/>
      <c r="X682" s="16"/>
      <c r="Y682" s="8"/>
    </row>
    <row r="683" spans="1:25" ht="15.75" customHeight="1">
      <c r="A683" s="16"/>
      <c r="B683" s="16"/>
      <c r="C683" s="16"/>
      <c r="D683" s="16"/>
      <c r="E683" s="16"/>
      <c r="F683" s="16"/>
      <c r="G683" s="16"/>
      <c r="H683" s="16"/>
      <c r="I683" s="16"/>
      <c r="J683" s="16"/>
      <c r="K683" s="16"/>
      <c r="L683" s="16"/>
      <c r="M683" s="16"/>
      <c r="N683" s="16"/>
      <c r="O683" s="16"/>
      <c r="P683" s="16"/>
      <c r="Q683" s="16"/>
      <c r="R683" s="16"/>
      <c r="S683" s="16"/>
      <c r="T683" s="16"/>
      <c r="U683" s="13"/>
      <c r="V683" s="16"/>
      <c r="W683" s="16"/>
      <c r="X683" s="16"/>
      <c r="Y683" s="8"/>
    </row>
    <row r="684" spans="1:25" ht="15.75" customHeight="1">
      <c r="A684" s="16"/>
      <c r="B684" s="16"/>
      <c r="C684" s="16"/>
      <c r="D684" s="16"/>
      <c r="E684" s="16"/>
      <c r="F684" s="16"/>
      <c r="G684" s="16"/>
      <c r="H684" s="16"/>
      <c r="I684" s="16"/>
      <c r="J684" s="16"/>
      <c r="K684" s="16"/>
      <c r="L684" s="16"/>
      <c r="M684" s="16"/>
      <c r="N684" s="16"/>
      <c r="O684" s="16"/>
      <c r="P684" s="16"/>
      <c r="Q684" s="16"/>
      <c r="R684" s="16"/>
      <c r="S684" s="16"/>
      <c r="T684" s="16"/>
      <c r="U684" s="13"/>
      <c r="V684" s="16"/>
      <c r="W684" s="16"/>
      <c r="X684" s="16"/>
      <c r="Y684" s="8"/>
    </row>
    <row r="685" spans="1:25" ht="15.75" customHeight="1">
      <c r="A685" s="16"/>
      <c r="B685" s="16"/>
      <c r="C685" s="16"/>
      <c r="D685" s="16"/>
      <c r="E685" s="16"/>
      <c r="F685" s="16"/>
      <c r="G685" s="16"/>
      <c r="H685" s="16"/>
      <c r="I685" s="16"/>
      <c r="J685" s="16"/>
      <c r="K685" s="16"/>
      <c r="L685" s="16"/>
      <c r="M685" s="16"/>
      <c r="N685" s="16"/>
      <c r="O685" s="16"/>
      <c r="P685" s="16"/>
      <c r="Q685" s="16"/>
      <c r="R685" s="16"/>
      <c r="S685" s="16"/>
      <c r="T685" s="16"/>
      <c r="U685" s="13"/>
      <c r="V685" s="16"/>
      <c r="W685" s="16"/>
      <c r="X685" s="16"/>
      <c r="Y685" s="8"/>
    </row>
    <row r="686" spans="1:25" ht="15.75" customHeight="1">
      <c r="A686" s="16"/>
      <c r="B686" s="16"/>
      <c r="C686" s="16"/>
      <c r="D686" s="16"/>
      <c r="E686" s="16"/>
      <c r="F686" s="16"/>
      <c r="G686" s="16"/>
      <c r="H686" s="16"/>
      <c r="I686" s="16"/>
      <c r="J686" s="16"/>
      <c r="K686" s="16"/>
      <c r="L686" s="16"/>
      <c r="M686" s="16"/>
      <c r="N686" s="16"/>
      <c r="O686" s="16"/>
      <c r="P686" s="16"/>
      <c r="Q686" s="16"/>
      <c r="R686" s="16"/>
      <c r="S686" s="16"/>
      <c r="T686" s="16"/>
      <c r="U686" s="13"/>
      <c r="V686" s="16"/>
      <c r="W686" s="16"/>
      <c r="X686" s="16"/>
      <c r="Y686" s="8"/>
    </row>
    <row r="687" spans="1:25" ht="15.75" customHeight="1">
      <c r="A687" s="16"/>
      <c r="B687" s="16"/>
      <c r="C687" s="16"/>
      <c r="D687" s="16"/>
      <c r="E687" s="16"/>
      <c r="F687" s="16"/>
      <c r="G687" s="16"/>
      <c r="H687" s="16"/>
      <c r="I687" s="16"/>
      <c r="J687" s="16"/>
      <c r="K687" s="16"/>
      <c r="L687" s="16"/>
      <c r="M687" s="16"/>
      <c r="N687" s="16"/>
      <c r="O687" s="16"/>
      <c r="P687" s="16"/>
      <c r="Q687" s="16"/>
      <c r="R687" s="16"/>
      <c r="S687" s="16"/>
      <c r="T687" s="16"/>
      <c r="U687" s="13"/>
      <c r="V687" s="16"/>
      <c r="W687" s="16"/>
      <c r="X687" s="16"/>
      <c r="Y687" s="8"/>
    </row>
    <row r="688" spans="1:25" ht="15.75" customHeight="1">
      <c r="A688" s="16"/>
      <c r="B688" s="16"/>
      <c r="C688" s="16"/>
      <c r="D688" s="16"/>
      <c r="E688" s="16"/>
      <c r="F688" s="16"/>
      <c r="G688" s="16"/>
      <c r="H688" s="16"/>
      <c r="I688" s="16"/>
      <c r="J688" s="16"/>
      <c r="K688" s="16"/>
      <c r="L688" s="16"/>
      <c r="M688" s="16"/>
      <c r="N688" s="16"/>
      <c r="O688" s="16"/>
      <c r="P688" s="16"/>
      <c r="Q688" s="16"/>
      <c r="R688" s="16"/>
      <c r="S688" s="16"/>
      <c r="T688" s="16"/>
      <c r="U688" s="13"/>
      <c r="V688" s="16"/>
      <c r="W688" s="16"/>
      <c r="X688" s="16"/>
      <c r="Y688" s="8"/>
    </row>
    <row r="689" spans="1:25" ht="15.75" customHeight="1">
      <c r="A689" s="16"/>
      <c r="B689" s="16"/>
      <c r="C689" s="16"/>
      <c r="D689" s="16"/>
      <c r="E689" s="16"/>
      <c r="F689" s="16"/>
      <c r="G689" s="16"/>
      <c r="H689" s="16"/>
      <c r="I689" s="16"/>
      <c r="J689" s="16"/>
      <c r="K689" s="16"/>
      <c r="L689" s="16"/>
      <c r="M689" s="16"/>
      <c r="N689" s="16"/>
      <c r="O689" s="16"/>
      <c r="P689" s="16"/>
      <c r="Q689" s="16"/>
      <c r="R689" s="16"/>
      <c r="S689" s="16"/>
      <c r="T689" s="16"/>
      <c r="U689" s="13"/>
      <c r="V689" s="16"/>
      <c r="W689" s="16"/>
      <c r="X689" s="16"/>
      <c r="Y689" s="8"/>
    </row>
    <row r="690" spans="1:25" ht="15.75" customHeight="1">
      <c r="A690" s="16"/>
      <c r="B690" s="16"/>
      <c r="C690" s="16"/>
      <c r="D690" s="16"/>
      <c r="E690" s="16"/>
      <c r="F690" s="16"/>
      <c r="G690" s="16"/>
      <c r="H690" s="16"/>
      <c r="I690" s="16"/>
      <c r="J690" s="16"/>
      <c r="K690" s="16"/>
      <c r="L690" s="16"/>
      <c r="M690" s="16"/>
      <c r="N690" s="16"/>
      <c r="O690" s="16"/>
      <c r="P690" s="16"/>
      <c r="Q690" s="16"/>
      <c r="R690" s="16"/>
      <c r="S690" s="16"/>
      <c r="T690" s="16"/>
      <c r="U690" s="13"/>
      <c r="V690" s="16"/>
      <c r="W690" s="16"/>
      <c r="X690" s="16"/>
      <c r="Y690" s="8"/>
    </row>
    <row r="691" spans="1:25" ht="15.75" customHeight="1">
      <c r="A691" s="16"/>
      <c r="B691" s="16"/>
      <c r="C691" s="16"/>
      <c r="D691" s="16"/>
      <c r="E691" s="16"/>
      <c r="F691" s="16"/>
      <c r="G691" s="16"/>
      <c r="H691" s="16"/>
      <c r="I691" s="16"/>
      <c r="J691" s="16"/>
      <c r="K691" s="16"/>
      <c r="L691" s="16"/>
      <c r="M691" s="16"/>
      <c r="N691" s="16"/>
      <c r="O691" s="16"/>
      <c r="P691" s="16"/>
      <c r="Q691" s="16"/>
      <c r="R691" s="16"/>
      <c r="S691" s="16"/>
      <c r="T691" s="16"/>
      <c r="U691" s="13"/>
      <c r="V691" s="16"/>
      <c r="W691" s="16"/>
      <c r="X691" s="16"/>
      <c r="Y691" s="8"/>
    </row>
    <row r="692" spans="1:25" ht="15.75" customHeight="1">
      <c r="A692" s="16"/>
      <c r="B692" s="16"/>
      <c r="C692" s="16"/>
      <c r="D692" s="16"/>
      <c r="E692" s="16"/>
      <c r="F692" s="16"/>
      <c r="G692" s="16"/>
      <c r="H692" s="16"/>
      <c r="I692" s="16"/>
      <c r="J692" s="16"/>
      <c r="K692" s="16"/>
      <c r="L692" s="16"/>
      <c r="M692" s="16"/>
      <c r="N692" s="16"/>
      <c r="O692" s="16"/>
      <c r="P692" s="16"/>
      <c r="Q692" s="16"/>
      <c r="R692" s="16"/>
      <c r="S692" s="16"/>
      <c r="T692" s="16"/>
      <c r="U692" s="13"/>
      <c r="V692" s="16"/>
      <c r="W692" s="16"/>
      <c r="X692" s="16"/>
      <c r="Y692" s="8"/>
    </row>
    <row r="693" spans="1:25" ht="15.75" customHeight="1">
      <c r="A693" s="16"/>
      <c r="B693" s="16"/>
      <c r="C693" s="16"/>
      <c r="D693" s="16"/>
      <c r="E693" s="16"/>
      <c r="F693" s="16"/>
      <c r="G693" s="16"/>
      <c r="H693" s="16"/>
      <c r="I693" s="16"/>
      <c r="J693" s="16"/>
      <c r="K693" s="16"/>
      <c r="L693" s="16"/>
      <c r="M693" s="16"/>
      <c r="N693" s="16"/>
      <c r="O693" s="16"/>
      <c r="P693" s="16"/>
      <c r="Q693" s="16"/>
      <c r="R693" s="16"/>
      <c r="S693" s="16"/>
      <c r="T693" s="16"/>
      <c r="U693" s="13"/>
      <c r="V693" s="16"/>
      <c r="W693" s="16"/>
      <c r="X693" s="16"/>
      <c r="Y693" s="8"/>
    </row>
    <row r="694" spans="1:25" ht="15.75" customHeight="1">
      <c r="A694" s="16"/>
      <c r="B694" s="16"/>
      <c r="C694" s="16"/>
      <c r="D694" s="16"/>
      <c r="E694" s="16"/>
      <c r="F694" s="16"/>
      <c r="G694" s="16"/>
      <c r="H694" s="16"/>
      <c r="I694" s="16"/>
      <c r="J694" s="16"/>
      <c r="K694" s="16"/>
      <c r="L694" s="16"/>
      <c r="M694" s="16"/>
      <c r="N694" s="16"/>
      <c r="O694" s="16"/>
      <c r="P694" s="16"/>
      <c r="Q694" s="16"/>
      <c r="R694" s="16"/>
      <c r="S694" s="16"/>
      <c r="T694" s="16"/>
      <c r="U694" s="13"/>
      <c r="V694" s="16"/>
      <c r="W694" s="16"/>
      <c r="X694" s="16"/>
      <c r="Y694" s="8"/>
    </row>
    <row r="695" spans="1:25" ht="15.75" customHeight="1">
      <c r="A695" s="16"/>
      <c r="B695" s="16"/>
      <c r="C695" s="16"/>
      <c r="D695" s="16"/>
      <c r="E695" s="16"/>
      <c r="F695" s="16"/>
      <c r="G695" s="16"/>
      <c r="H695" s="16"/>
      <c r="I695" s="16"/>
      <c r="J695" s="16"/>
      <c r="K695" s="16"/>
      <c r="L695" s="16"/>
      <c r="M695" s="16"/>
      <c r="N695" s="16"/>
      <c r="O695" s="16"/>
      <c r="P695" s="16"/>
      <c r="Q695" s="16"/>
      <c r="R695" s="16"/>
      <c r="S695" s="16"/>
      <c r="T695" s="16"/>
      <c r="U695" s="13"/>
      <c r="V695" s="16"/>
      <c r="W695" s="16"/>
      <c r="X695" s="16"/>
      <c r="Y695" s="8"/>
    </row>
    <row r="696" spans="1:25" ht="15.75" customHeight="1">
      <c r="A696" s="16"/>
      <c r="B696" s="16"/>
      <c r="C696" s="16"/>
      <c r="D696" s="16"/>
      <c r="E696" s="16"/>
      <c r="F696" s="16"/>
      <c r="G696" s="16"/>
      <c r="H696" s="16"/>
      <c r="I696" s="16"/>
      <c r="J696" s="16"/>
      <c r="K696" s="16"/>
      <c r="L696" s="16"/>
      <c r="M696" s="16"/>
      <c r="N696" s="16"/>
      <c r="O696" s="16"/>
      <c r="P696" s="16"/>
      <c r="Q696" s="16"/>
      <c r="R696" s="16"/>
      <c r="S696" s="16"/>
      <c r="T696" s="16"/>
      <c r="U696" s="13"/>
      <c r="V696" s="16"/>
      <c r="W696" s="16"/>
      <c r="X696" s="16"/>
      <c r="Y696" s="8"/>
    </row>
    <row r="697" spans="1:25" ht="15.75" customHeight="1">
      <c r="A697" s="16"/>
      <c r="B697" s="16"/>
      <c r="C697" s="16"/>
      <c r="D697" s="16"/>
      <c r="E697" s="16"/>
      <c r="F697" s="16"/>
      <c r="G697" s="16"/>
      <c r="H697" s="16"/>
      <c r="I697" s="16"/>
      <c r="J697" s="16"/>
      <c r="K697" s="16"/>
      <c r="L697" s="16"/>
      <c r="M697" s="16"/>
      <c r="N697" s="16"/>
      <c r="O697" s="16"/>
      <c r="P697" s="16"/>
      <c r="Q697" s="16"/>
      <c r="R697" s="16"/>
      <c r="S697" s="16"/>
      <c r="T697" s="16"/>
      <c r="U697" s="13"/>
      <c r="V697" s="16"/>
      <c r="W697" s="16"/>
      <c r="X697" s="16"/>
      <c r="Y697" s="8"/>
    </row>
    <row r="698" spans="1:25" ht="15.75" customHeight="1">
      <c r="A698" s="16"/>
      <c r="B698" s="16"/>
      <c r="C698" s="16"/>
      <c r="D698" s="16"/>
      <c r="E698" s="16"/>
      <c r="F698" s="16"/>
      <c r="G698" s="16"/>
      <c r="H698" s="16"/>
      <c r="I698" s="16"/>
      <c r="J698" s="16"/>
      <c r="K698" s="16"/>
      <c r="L698" s="16"/>
      <c r="M698" s="16"/>
      <c r="N698" s="16"/>
      <c r="O698" s="16"/>
      <c r="P698" s="16"/>
      <c r="Q698" s="16"/>
      <c r="R698" s="16"/>
      <c r="S698" s="16"/>
      <c r="T698" s="16"/>
      <c r="U698" s="13"/>
      <c r="V698" s="16"/>
      <c r="W698" s="16"/>
      <c r="X698" s="16"/>
      <c r="Y698" s="8"/>
    </row>
    <row r="699" spans="1:25" ht="15.75" customHeight="1">
      <c r="A699" s="16"/>
      <c r="B699" s="16"/>
      <c r="C699" s="16"/>
      <c r="D699" s="16"/>
      <c r="E699" s="16"/>
      <c r="F699" s="16"/>
      <c r="G699" s="16"/>
      <c r="H699" s="16"/>
      <c r="I699" s="16"/>
      <c r="J699" s="16"/>
      <c r="K699" s="16"/>
      <c r="L699" s="16"/>
      <c r="M699" s="16"/>
      <c r="N699" s="16"/>
      <c r="O699" s="16"/>
      <c r="P699" s="16"/>
      <c r="Q699" s="16"/>
      <c r="R699" s="16"/>
      <c r="S699" s="16"/>
      <c r="T699" s="16"/>
      <c r="U699" s="13"/>
      <c r="V699" s="16"/>
      <c r="W699" s="16"/>
      <c r="X699" s="16"/>
      <c r="Y699" s="8"/>
    </row>
    <row r="700" spans="1:25" ht="15.75" customHeight="1">
      <c r="A700" s="16"/>
      <c r="B700" s="16"/>
      <c r="C700" s="16"/>
      <c r="D700" s="16"/>
      <c r="E700" s="16"/>
      <c r="F700" s="16"/>
      <c r="G700" s="16"/>
      <c r="H700" s="16"/>
      <c r="I700" s="16"/>
      <c r="J700" s="16"/>
      <c r="K700" s="16"/>
      <c r="L700" s="16"/>
      <c r="M700" s="16"/>
      <c r="N700" s="16"/>
      <c r="O700" s="16"/>
      <c r="P700" s="16"/>
      <c r="Q700" s="16"/>
      <c r="R700" s="16"/>
      <c r="S700" s="16"/>
      <c r="T700" s="16"/>
      <c r="U700" s="13"/>
      <c r="V700" s="16"/>
      <c r="W700" s="16"/>
      <c r="X700" s="16"/>
      <c r="Y700" s="8"/>
    </row>
    <row r="701" spans="1:25" ht="15.75" customHeight="1">
      <c r="A701" s="16"/>
      <c r="B701" s="16"/>
      <c r="C701" s="16"/>
      <c r="D701" s="16"/>
      <c r="E701" s="16"/>
      <c r="F701" s="16"/>
      <c r="G701" s="16"/>
      <c r="H701" s="16"/>
      <c r="I701" s="16"/>
      <c r="J701" s="16"/>
      <c r="K701" s="16"/>
      <c r="L701" s="16"/>
      <c r="M701" s="16"/>
      <c r="N701" s="16"/>
      <c r="O701" s="16"/>
      <c r="P701" s="16"/>
      <c r="Q701" s="16"/>
      <c r="R701" s="16"/>
      <c r="S701" s="16"/>
      <c r="T701" s="16"/>
      <c r="U701" s="13"/>
      <c r="V701" s="16"/>
      <c r="W701" s="16"/>
      <c r="X701" s="16"/>
      <c r="Y701" s="8"/>
    </row>
    <row r="702" spans="1:25" ht="15.75" customHeight="1">
      <c r="A702" s="16"/>
      <c r="B702" s="16"/>
      <c r="C702" s="16"/>
      <c r="D702" s="16"/>
      <c r="E702" s="16"/>
      <c r="F702" s="16"/>
      <c r="G702" s="16"/>
      <c r="H702" s="16"/>
      <c r="I702" s="16"/>
      <c r="J702" s="16"/>
      <c r="K702" s="16"/>
      <c r="L702" s="16"/>
      <c r="M702" s="16"/>
      <c r="N702" s="16"/>
      <c r="O702" s="16"/>
      <c r="P702" s="16"/>
      <c r="Q702" s="16"/>
      <c r="R702" s="16"/>
      <c r="S702" s="16"/>
      <c r="T702" s="16"/>
      <c r="U702" s="13"/>
      <c r="V702" s="16"/>
      <c r="W702" s="16"/>
      <c r="X702" s="16"/>
      <c r="Y702" s="8"/>
    </row>
    <row r="703" spans="1:25" ht="15.75" customHeight="1">
      <c r="A703" s="16"/>
      <c r="B703" s="16"/>
      <c r="C703" s="16"/>
      <c r="D703" s="16"/>
      <c r="E703" s="16"/>
      <c r="F703" s="16"/>
      <c r="G703" s="16"/>
      <c r="H703" s="16"/>
      <c r="I703" s="16"/>
      <c r="J703" s="16"/>
      <c r="K703" s="16"/>
      <c r="L703" s="16"/>
      <c r="M703" s="16"/>
      <c r="N703" s="16"/>
      <c r="O703" s="16"/>
      <c r="P703" s="16"/>
      <c r="Q703" s="16"/>
      <c r="R703" s="16"/>
      <c r="S703" s="16"/>
      <c r="T703" s="16"/>
      <c r="U703" s="13"/>
      <c r="V703" s="16"/>
      <c r="W703" s="16"/>
      <c r="X703" s="16"/>
      <c r="Y703" s="8"/>
    </row>
    <row r="704" spans="1:25" ht="15.75" customHeight="1">
      <c r="A704" s="16"/>
      <c r="B704" s="16"/>
      <c r="C704" s="16"/>
      <c r="D704" s="16"/>
      <c r="E704" s="16"/>
      <c r="F704" s="16"/>
      <c r="G704" s="16"/>
      <c r="H704" s="16"/>
      <c r="I704" s="16"/>
      <c r="J704" s="16"/>
      <c r="K704" s="16"/>
      <c r="L704" s="16"/>
      <c r="M704" s="16"/>
      <c r="N704" s="16"/>
      <c r="O704" s="16"/>
      <c r="P704" s="16"/>
      <c r="Q704" s="16"/>
      <c r="R704" s="16"/>
      <c r="S704" s="16"/>
      <c r="T704" s="16"/>
      <c r="U704" s="13"/>
      <c r="V704" s="16"/>
      <c r="W704" s="16"/>
      <c r="X704" s="16"/>
      <c r="Y704" s="8"/>
    </row>
    <row r="705" spans="1:25" ht="15.75" customHeight="1">
      <c r="A705" s="16"/>
      <c r="B705" s="16"/>
      <c r="C705" s="16"/>
      <c r="D705" s="16"/>
      <c r="E705" s="16"/>
      <c r="F705" s="16"/>
      <c r="G705" s="16"/>
      <c r="H705" s="16"/>
      <c r="I705" s="16"/>
      <c r="J705" s="16"/>
      <c r="K705" s="16"/>
      <c r="L705" s="16"/>
      <c r="M705" s="16"/>
      <c r="N705" s="16"/>
      <c r="O705" s="16"/>
      <c r="P705" s="16"/>
      <c r="Q705" s="16"/>
      <c r="R705" s="16"/>
      <c r="S705" s="16"/>
      <c r="T705" s="16"/>
      <c r="U705" s="13"/>
      <c r="V705" s="16"/>
      <c r="W705" s="16"/>
      <c r="X705" s="16"/>
      <c r="Y705" s="8"/>
    </row>
    <row r="706" spans="1:25" ht="15.75" customHeight="1">
      <c r="A706" s="16"/>
      <c r="B706" s="16"/>
      <c r="C706" s="16"/>
      <c r="D706" s="16"/>
      <c r="E706" s="16"/>
      <c r="F706" s="16"/>
      <c r="G706" s="16"/>
      <c r="H706" s="16"/>
      <c r="I706" s="16"/>
      <c r="J706" s="16"/>
      <c r="K706" s="16"/>
      <c r="L706" s="16"/>
      <c r="M706" s="16"/>
      <c r="N706" s="16"/>
      <c r="O706" s="16"/>
      <c r="P706" s="16"/>
      <c r="Q706" s="16"/>
      <c r="R706" s="16"/>
      <c r="S706" s="16"/>
      <c r="T706" s="16"/>
      <c r="U706" s="13"/>
      <c r="V706" s="16"/>
      <c r="W706" s="16"/>
      <c r="X706" s="16"/>
      <c r="Y706" s="8"/>
    </row>
    <row r="707" spans="1:25" ht="15.75" customHeight="1">
      <c r="A707" s="16"/>
      <c r="B707" s="16"/>
      <c r="C707" s="16"/>
      <c r="D707" s="16"/>
      <c r="E707" s="16"/>
      <c r="F707" s="16"/>
      <c r="G707" s="16"/>
      <c r="H707" s="16"/>
      <c r="I707" s="16"/>
      <c r="J707" s="16"/>
      <c r="K707" s="16"/>
      <c r="L707" s="16"/>
      <c r="M707" s="16"/>
      <c r="N707" s="16"/>
      <c r="O707" s="16"/>
      <c r="P707" s="16"/>
      <c r="Q707" s="16"/>
      <c r="R707" s="16"/>
      <c r="S707" s="16"/>
      <c r="T707" s="16"/>
      <c r="U707" s="13"/>
      <c r="V707" s="16"/>
      <c r="W707" s="16"/>
      <c r="X707" s="16"/>
      <c r="Y707" s="8"/>
    </row>
    <row r="708" spans="1:25" ht="15.75" customHeight="1">
      <c r="A708" s="16"/>
      <c r="B708" s="16"/>
      <c r="C708" s="16"/>
      <c r="D708" s="16"/>
      <c r="E708" s="16"/>
      <c r="F708" s="16"/>
      <c r="G708" s="16"/>
      <c r="H708" s="16"/>
      <c r="I708" s="16"/>
      <c r="J708" s="16"/>
      <c r="K708" s="16"/>
      <c r="L708" s="16"/>
      <c r="M708" s="16"/>
      <c r="N708" s="16"/>
      <c r="O708" s="16"/>
      <c r="P708" s="16"/>
      <c r="Q708" s="16"/>
      <c r="R708" s="16"/>
      <c r="S708" s="16"/>
      <c r="T708" s="16"/>
      <c r="U708" s="13"/>
      <c r="V708" s="16"/>
      <c r="W708" s="16"/>
      <c r="X708" s="16"/>
      <c r="Y708" s="8"/>
    </row>
    <row r="709" spans="1:25" ht="15.75" customHeight="1">
      <c r="A709" s="16"/>
      <c r="B709" s="16"/>
      <c r="C709" s="16"/>
      <c r="D709" s="16"/>
      <c r="E709" s="16"/>
      <c r="F709" s="16"/>
      <c r="G709" s="16"/>
      <c r="H709" s="16"/>
      <c r="I709" s="16"/>
      <c r="J709" s="16"/>
      <c r="K709" s="16"/>
      <c r="L709" s="16"/>
      <c r="M709" s="16"/>
      <c r="N709" s="16"/>
      <c r="O709" s="16"/>
      <c r="P709" s="16"/>
      <c r="Q709" s="16"/>
      <c r="R709" s="16"/>
      <c r="S709" s="16"/>
      <c r="T709" s="16"/>
      <c r="U709" s="13"/>
      <c r="V709" s="16"/>
      <c r="W709" s="16"/>
      <c r="X709" s="16"/>
      <c r="Y709" s="8"/>
    </row>
    <row r="710" spans="1:25" ht="15.75" customHeight="1">
      <c r="A710" s="16"/>
      <c r="B710" s="16"/>
      <c r="C710" s="16"/>
      <c r="D710" s="16"/>
      <c r="E710" s="16"/>
      <c r="F710" s="16"/>
      <c r="G710" s="16"/>
      <c r="H710" s="16"/>
      <c r="I710" s="16"/>
      <c r="J710" s="16"/>
      <c r="K710" s="16"/>
      <c r="L710" s="16"/>
      <c r="M710" s="16"/>
      <c r="N710" s="16"/>
      <c r="O710" s="16"/>
      <c r="P710" s="16"/>
      <c r="Q710" s="16"/>
      <c r="R710" s="16"/>
      <c r="S710" s="16"/>
      <c r="T710" s="16"/>
      <c r="U710" s="13"/>
      <c r="V710" s="16"/>
      <c r="W710" s="16"/>
      <c r="X710" s="16"/>
      <c r="Y710" s="8"/>
    </row>
    <row r="711" spans="1:25" ht="15.75" customHeight="1">
      <c r="A711" s="16"/>
      <c r="B711" s="16"/>
      <c r="C711" s="16"/>
      <c r="D711" s="16"/>
      <c r="E711" s="16"/>
      <c r="F711" s="16"/>
      <c r="G711" s="16"/>
      <c r="H711" s="16"/>
      <c r="I711" s="16"/>
      <c r="J711" s="16"/>
      <c r="K711" s="16"/>
      <c r="L711" s="16"/>
      <c r="M711" s="16"/>
      <c r="N711" s="16"/>
      <c r="O711" s="16"/>
      <c r="P711" s="16"/>
      <c r="Q711" s="16"/>
      <c r="R711" s="16"/>
      <c r="S711" s="16"/>
      <c r="T711" s="16"/>
      <c r="U711" s="13"/>
      <c r="V711" s="16"/>
      <c r="W711" s="16"/>
      <c r="X711" s="16"/>
      <c r="Y711" s="8"/>
    </row>
    <row r="712" spans="1:25" ht="15.75" customHeight="1">
      <c r="A712" s="16"/>
      <c r="B712" s="16"/>
      <c r="C712" s="16"/>
      <c r="D712" s="16"/>
      <c r="E712" s="16"/>
      <c r="F712" s="16"/>
      <c r="G712" s="16"/>
      <c r="H712" s="16"/>
      <c r="I712" s="16"/>
      <c r="J712" s="16"/>
      <c r="K712" s="16"/>
      <c r="L712" s="16"/>
      <c r="M712" s="16"/>
      <c r="N712" s="16"/>
      <c r="O712" s="16"/>
      <c r="P712" s="16"/>
      <c r="Q712" s="16"/>
      <c r="R712" s="16"/>
      <c r="S712" s="16"/>
      <c r="T712" s="16"/>
      <c r="U712" s="13"/>
      <c r="V712" s="16"/>
      <c r="W712" s="16"/>
      <c r="X712" s="16"/>
      <c r="Y712" s="8"/>
    </row>
    <row r="713" spans="1:25" ht="15.75" customHeight="1">
      <c r="A713" s="16"/>
      <c r="B713" s="16"/>
      <c r="C713" s="16"/>
      <c r="D713" s="16"/>
      <c r="E713" s="16"/>
      <c r="F713" s="16"/>
      <c r="G713" s="16"/>
      <c r="H713" s="16"/>
      <c r="I713" s="16"/>
      <c r="J713" s="16"/>
      <c r="K713" s="16"/>
      <c r="L713" s="16"/>
      <c r="M713" s="16"/>
      <c r="N713" s="16"/>
      <c r="O713" s="16"/>
      <c r="P713" s="16"/>
      <c r="Q713" s="16"/>
      <c r="R713" s="16"/>
      <c r="S713" s="16"/>
      <c r="T713" s="16"/>
      <c r="U713" s="13"/>
      <c r="V713" s="16"/>
      <c r="W713" s="16"/>
      <c r="X713" s="16"/>
      <c r="Y713" s="8"/>
    </row>
    <row r="714" spans="1:25" ht="15.75" customHeight="1">
      <c r="A714" s="16"/>
      <c r="B714" s="16"/>
      <c r="C714" s="16"/>
      <c r="D714" s="16"/>
      <c r="E714" s="16"/>
      <c r="F714" s="16"/>
      <c r="G714" s="16"/>
      <c r="H714" s="16"/>
      <c r="I714" s="16"/>
      <c r="J714" s="16"/>
      <c r="K714" s="16"/>
      <c r="L714" s="16"/>
      <c r="M714" s="16"/>
      <c r="N714" s="16"/>
      <c r="O714" s="16"/>
      <c r="P714" s="16"/>
      <c r="Q714" s="16"/>
      <c r="R714" s="16"/>
      <c r="S714" s="16"/>
      <c r="T714" s="16"/>
      <c r="U714" s="13"/>
      <c r="V714" s="16"/>
      <c r="W714" s="16"/>
      <c r="X714" s="16"/>
      <c r="Y714" s="8"/>
    </row>
    <row r="715" spans="1:25" ht="15.75" customHeight="1">
      <c r="A715" s="16"/>
      <c r="B715" s="16"/>
      <c r="C715" s="16"/>
      <c r="D715" s="16"/>
      <c r="E715" s="16"/>
      <c r="F715" s="16"/>
      <c r="G715" s="16"/>
      <c r="H715" s="16"/>
      <c r="I715" s="16"/>
      <c r="J715" s="16"/>
      <c r="K715" s="16"/>
      <c r="L715" s="16"/>
      <c r="M715" s="16"/>
      <c r="N715" s="16"/>
      <c r="O715" s="16"/>
      <c r="P715" s="16"/>
      <c r="Q715" s="16"/>
      <c r="R715" s="16"/>
      <c r="S715" s="16"/>
      <c r="T715" s="16"/>
      <c r="U715" s="13"/>
      <c r="V715" s="16"/>
      <c r="W715" s="16"/>
      <c r="X715" s="16"/>
      <c r="Y715" s="8"/>
    </row>
    <row r="716" spans="1:25" ht="15.75" customHeight="1">
      <c r="A716" s="16"/>
      <c r="B716" s="16"/>
      <c r="C716" s="16"/>
      <c r="D716" s="16"/>
      <c r="E716" s="16"/>
      <c r="F716" s="16"/>
      <c r="G716" s="16"/>
      <c r="H716" s="16"/>
      <c r="I716" s="16"/>
      <c r="J716" s="16"/>
      <c r="K716" s="16"/>
      <c r="L716" s="16"/>
      <c r="M716" s="16"/>
      <c r="N716" s="16"/>
      <c r="O716" s="16"/>
      <c r="P716" s="16"/>
      <c r="Q716" s="16"/>
      <c r="R716" s="16"/>
      <c r="S716" s="16"/>
      <c r="T716" s="16"/>
      <c r="U716" s="13"/>
      <c r="V716" s="16"/>
      <c r="W716" s="16"/>
      <c r="X716" s="16"/>
      <c r="Y716" s="8"/>
    </row>
    <row r="717" spans="1:25" ht="15.75" customHeight="1">
      <c r="A717" s="16"/>
      <c r="B717" s="16"/>
      <c r="C717" s="16"/>
      <c r="D717" s="16"/>
      <c r="E717" s="16"/>
      <c r="F717" s="16"/>
      <c r="G717" s="16"/>
      <c r="H717" s="16"/>
      <c r="I717" s="16"/>
      <c r="J717" s="16"/>
      <c r="K717" s="16"/>
      <c r="L717" s="16"/>
      <c r="M717" s="16"/>
      <c r="N717" s="16"/>
      <c r="O717" s="16"/>
      <c r="P717" s="16"/>
      <c r="Q717" s="16"/>
      <c r="R717" s="16"/>
      <c r="S717" s="16"/>
      <c r="T717" s="16"/>
      <c r="U717" s="13"/>
      <c r="V717" s="16"/>
      <c r="W717" s="16"/>
      <c r="X717" s="16"/>
      <c r="Y717" s="8"/>
    </row>
    <row r="718" spans="1:25" ht="15.75" customHeight="1">
      <c r="A718" s="16"/>
      <c r="B718" s="16"/>
      <c r="C718" s="16"/>
      <c r="D718" s="16"/>
      <c r="E718" s="16"/>
      <c r="F718" s="16"/>
      <c r="G718" s="16"/>
      <c r="H718" s="16"/>
      <c r="I718" s="16"/>
      <c r="J718" s="16"/>
      <c r="K718" s="16"/>
      <c r="L718" s="16"/>
      <c r="M718" s="16"/>
      <c r="N718" s="16"/>
      <c r="O718" s="16"/>
      <c r="P718" s="16"/>
      <c r="Q718" s="16"/>
      <c r="R718" s="16"/>
      <c r="S718" s="16"/>
      <c r="T718" s="16"/>
      <c r="U718" s="13"/>
      <c r="V718" s="16"/>
      <c r="W718" s="16"/>
      <c r="X718" s="16"/>
      <c r="Y718" s="8"/>
    </row>
    <row r="719" spans="1:25" ht="15.75" customHeight="1">
      <c r="A719" s="16"/>
      <c r="B719" s="16"/>
      <c r="C719" s="16"/>
      <c r="D719" s="16"/>
      <c r="E719" s="16"/>
      <c r="F719" s="16"/>
      <c r="G719" s="16"/>
      <c r="H719" s="16"/>
      <c r="I719" s="16"/>
      <c r="J719" s="16"/>
      <c r="K719" s="16"/>
      <c r="L719" s="16"/>
      <c r="M719" s="16"/>
      <c r="N719" s="16"/>
      <c r="O719" s="16"/>
      <c r="P719" s="16"/>
      <c r="Q719" s="16"/>
      <c r="R719" s="16"/>
      <c r="S719" s="16"/>
      <c r="T719" s="16"/>
      <c r="U719" s="13"/>
      <c r="V719" s="16"/>
      <c r="W719" s="16"/>
      <c r="X719" s="16"/>
      <c r="Y719" s="8"/>
    </row>
    <row r="720" spans="1:25" ht="15.75" customHeight="1">
      <c r="A720" s="16"/>
      <c r="B720" s="16"/>
      <c r="C720" s="16"/>
      <c r="D720" s="16"/>
      <c r="E720" s="16"/>
      <c r="F720" s="16"/>
      <c r="G720" s="16"/>
      <c r="H720" s="16"/>
      <c r="I720" s="16"/>
      <c r="J720" s="16"/>
      <c r="K720" s="16"/>
      <c r="L720" s="16"/>
      <c r="M720" s="16"/>
      <c r="N720" s="16"/>
      <c r="O720" s="16"/>
      <c r="P720" s="16"/>
      <c r="Q720" s="16"/>
      <c r="R720" s="16"/>
      <c r="S720" s="16"/>
      <c r="T720" s="16"/>
      <c r="U720" s="13"/>
      <c r="V720" s="16"/>
      <c r="W720" s="16"/>
      <c r="X720" s="16"/>
      <c r="Y720" s="8"/>
    </row>
    <row r="721" spans="1:25" ht="15.75" customHeight="1">
      <c r="A721" s="16"/>
      <c r="B721" s="16"/>
      <c r="C721" s="16"/>
      <c r="D721" s="16"/>
      <c r="E721" s="16"/>
      <c r="F721" s="16"/>
      <c r="G721" s="16"/>
      <c r="H721" s="16"/>
      <c r="I721" s="16"/>
      <c r="J721" s="16"/>
      <c r="K721" s="16"/>
      <c r="L721" s="16"/>
      <c r="M721" s="16"/>
      <c r="N721" s="16"/>
      <c r="O721" s="16"/>
      <c r="P721" s="16"/>
      <c r="Q721" s="16"/>
      <c r="R721" s="16"/>
      <c r="S721" s="16"/>
      <c r="T721" s="16"/>
      <c r="U721" s="13"/>
      <c r="V721" s="16"/>
      <c r="W721" s="16"/>
      <c r="X721" s="16"/>
      <c r="Y721" s="8"/>
    </row>
    <row r="722" spans="1:25" ht="15.75" customHeight="1">
      <c r="A722" s="16"/>
      <c r="B722" s="16"/>
      <c r="C722" s="16"/>
      <c r="D722" s="16"/>
      <c r="E722" s="16"/>
      <c r="F722" s="16"/>
      <c r="G722" s="16"/>
      <c r="H722" s="16"/>
      <c r="I722" s="16"/>
      <c r="J722" s="16"/>
      <c r="K722" s="16"/>
      <c r="L722" s="16"/>
      <c r="M722" s="16"/>
      <c r="N722" s="16"/>
      <c r="O722" s="16"/>
      <c r="P722" s="16"/>
      <c r="Q722" s="16"/>
      <c r="R722" s="16"/>
      <c r="S722" s="16"/>
      <c r="T722" s="16"/>
      <c r="U722" s="13"/>
      <c r="V722" s="16"/>
      <c r="W722" s="16"/>
      <c r="X722" s="16"/>
      <c r="Y722" s="8"/>
    </row>
    <row r="723" spans="1:25" ht="15.75" customHeight="1">
      <c r="A723" s="16"/>
      <c r="B723" s="16"/>
      <c r="C723" s="16"/>
      <c r="D723" s="16"/>
      <c r="E723" s="16"/>
      <c r="F723" s="16"/>
      <c r="G723" s="16"/>
      <c r="H723" s="16"/>
      <c r="I723" s="16"/>
      <c r="J723" s="16"/>
      <c r="K723" s="16"/>
      <c r="L723" s="16"/>
      <c r="M723" s="16"/>
      <c r="N723" s="16"/>
      <c r="O723" s="16"/>
      <c r="P723" s="16"/>
      <c r="Q723" s="16"/>
      <c r="R723" s="16"/>
      <c r="S723" s="16"/>
      <c r="T723" s="16"/>
      <c r="U723" s="13"/>
      <c r="V723" s="16"/>
      <c r="W723" s="16"/>
      <c r="X723" s="16"/>
      <c r="Y723" s="8"/>
    </row>
    <row r="724" spans="1:25" ht="15.75" customHeight="1">
      <c r="A724" s="16"/>
      <c r="B724" s="16"/>
      <c r="C724" s="16"/>
      <c r="D724" s="16"/>
      <c r="E724" s="16"/>
      <c r="F724" s="16"/>
      <c r="G724" s="16"/>
      <c r="H724" s="16"/>
      <c r="I724" s="16"/>
      <c r="J724" s="16"/>
      <c r="K724" s="16"/>
      <c r="L724" s="16"/>
      <c r="M724" s="16"/>
      <c r="N724" s="16"/>
      <c r="O724" s="16"/>
      <c r="P724" s="16"/>
      <c r="Q724" s="16"/>
      <c r="R724" s="16"/>
      <c r="S724" s="16"/>
      <c r="T724" s="16"/>
      <c r="U724" s="13"/>
      <c r="V724" s="16"/>
      <c r="W724" s="16"/>
      <c r="X724" s="16"/>
      <c r="Y724" s="8"/>
    </row>
    <row r="725" spans="1:25" ht="15.75" customHeight="1">
      <c r="A725" s="16"/>
      <c r="B725" s="16"/>
      <c r="C725" s="16"/>
      <c r="D725" s="16"/>
      <c r="E725" s="16"/>
      <c r="F725" s="16"/>
      <c r="G725" s="16"/>
      <c r="H725" s="16"/>
      <c r="I725" s="16"/>
      <c r="J725" s="16"/>
      <c r="K725" s="16"/>
      <c r="L725" s="16"/>
      <c r="M725" s="16"/>
      <c r="N725" s="16"/>
      <c r="O725" s="16"/>
      <c r="P725" s="16"/>
      <c r="Q725" s="16"/>
      <c r="R725" s="16"/>
      <c r="S725" s="16"/>
      <c r="T725" s="16"/>
      <c r="U725" s="13"/>
      <c r="V725" s="16"/>
      <c r="W725" s="16"/>
      <c r="X725" s="16"/>
      <c r="Y725" s="8"/>
    </row>
    <row r="726" spans="1:25" ht="15.75" customHeight="1">
      <c r="A726" s="16"/>
      <c r="B726" s="16"/>
      <c r="C726" s="16"/>
      <c r="D726" s="16"/>
      <c r="E726" s="16"/>
      <c r="F726" s="16"/>
      <c r="G726" s="16"/>
      <c r="H726" s="16"/>
      <c r="I726" s="16"/>
      <c r="J726" s="16"/>
      <c r="K726" s="16"/>
      <c r="L726" s="16"/>
      <c r="M726" s="16"/>
      <c r="N726" s="16"/>
      <c r="O726" s="16"/>
      <c r="P726" s="16"/>
      <c r="Q726" s="16"/>
      <c r="R726" s="16"/>
      <c r="S726" s="16"/>
      <c r="T726" s="16"/>
      <c r="U726" s="13"/>
      <c r="V726" s="16"/>
      <c r="W726" s="16"/>
      <c r="X726" s="16"/>
      <c r="Y726" s="8"/>
    </row>
    <row r="727" spans="1:25" ht="15.75" customHeight="1">
      <c r="A727" s="16"/>
      <c r="B727" s="16"/>
      <c r="C727" s="16"/>
      <c r="D727" s="16"/>
      <c r="E727" s="16"/>
      <c r="F727" s="16"/>
      <c r="G727" s="16"/>
      <c r="H727" s="16"/>
      <c r="I727" s="16"/>
      <c r="J727" s="16"/>
      <c r="K727" s="16"/>
      <c r="L727" s="16"/>
      <c r="M727" s="16"/>
      <c r="N727" s="16"/>
      <c r="O727" s="16"/>
      <c r="P727" s="16"/>
      <c r="Q727" s="16"/>
      <c r="R727" s="16"/>
      <c r="S727" s="16"/>
      <c r="T727" s="16"/>
      <c r="U727" s="13"/>
      <c r="V727" s="16"/>
      <c r="W727" s="16"/>
      <c r="X727" s="16"/>
      <c r="Y727" s="8"/>
    </row>
    <row r="728" spans="1:25" ht="15.75" customHeight="1">
      <c r="A728" s="16"/>
      <c r="B728" s="16"/>
      <c r="C728" s="16"/>
      <c r="D728" s="16"/>
      <c r="E728" s="16"/>
      <c r="F728" s="16"/>
      <c r="G728" s="16"/>
      <c r="H728" s="16"/>
      <c r="I728" s="16"/>
      <c r="J728" s="16"/>
      <c r="K728" s="16"/>
      <c r="L728" s="16"/>
      <c r="M728" s="16"/>
      <c r="N728" s="16"/>
      <c r="O728" s="16"/>
      <c r="P728" s="16"/>
      <c r="Q728" s="16"/>
      <c r="R728" s="16"/>
      <c r="S728" s="16"/>
      <c r="T728" s="16"/>
      <c r="U728" s="13"/>
      <c r="V728" s="16"/>
      <c r="W728" s="16"/>
      <c r="X728" s="16"/>
      <c r="Y728" s="8"/>
    </row>
    <row r="729" spans="1:25" ht="15.75" customHeight="1">
      <c r="A729" s="16"/>
      <c r="B729" s="16"/>
      <c r="C729" s="16"/>
      <c r="D729" s="16"/>
      <c r="E729" s="16"/>
      <c r="F729" s="16"/>
      <c r="G729" s="16"/>
      <c r="H729" s="16"/>
      <c r="I729" s="16"/>
      <c r="J729" s="16"/>
      <c r="K729" s="16"/>
      <c r="L729" s="16"/>
      <c r="M729" s="16"/>
      <c r="N729" s="16"/>
      <c r="O729" s="16"/>
      <c r="P729" s="16"/>
      <c r="Q729" s="16"/>
      <c r="R729" s="16"/>
      <c r="S729" s="16"/>
      <c r="T729" s="16"/>
      <c r="U729" s="13"/>
      <c r="V729" s="16"/>
      <c r="W729" s="16"/>
      <c r="X729" s="16"/>
      <c r="Y729" s="8"/>
    </row>
    <row r="730" spans="1:25" ht="15.75" customHeight="1">
      <c r="A730" s="16"/>
      <c r="B730" s="16"/>
      <c r="C730" s="16"/>
      <c r="D730" s="16"/>
      <c r="E730" s="16"/>
      <c r="F730" s="16"/>
      <c r="G730" s="16"/>
      <c r="H730" s="16"/>
      <c r="I730" s="16"/>
      <c r="J730" s="16"/>
      <c r="K730" s="16"/>
      <c r="L730" s="16"/>
      <c r="M730" s="16"/>
      <c r="N730" s="16"/>
      <c r="O730" s="16"/>
      <c r="P730" s="16"/>
      <c r="Q730" s="16"/>
      <c r="R730" s="16"/>
      <c r="S730" s="16"/>
      <c r="T730" s="16"/>
      <c r="U730" s="13"/>
      <c r="V730" s="16"/>
      <c r="W730" s="16"/>
      <c r="X730" s="16"/>
      <c r="Y730" s="8"/>
    </row>
    <row r="731" spans="1:25" ht="15.75" customHeight="1">
      <c r="A731" s="16"/>
      <c r="B731" s="16"/>
      <c r="C731" s="16"/>
      <c r="D731" s="16"/>
      <c r="E731" s="16"/>
      <c r="F731" s="16"/>
      <c r="G731" s="16"/>
      <c r="H731" s="16"/>
      <c r="I731" s="16"/>
      <c r="J731" s="16"/>
      <c r="K731" s="16"/>
      <c r="L731" s="16"/>
      <c r="M731" s="16"/>
      <c r="N731" s="16"/>
      <c r="O731" s="16"/>
      <c r="P731" s="16"/>
      <c r="Q731" s="16"/>
      <c r="R731" s="16"/>
      <c r="S731" s="16"/>
      <c r="T731" s="16"/>
      <c r="U731" s="13"/>
      <c r="V731" s="16"/>
      <c r="W731" s="16"/>
      <c r="X731" s="16"/>
      <c r="Y731" s="8"/>
    </row>
    <row r="732" spans="1:25" ht="15.75" customHeight="1">
      <c r="A732" s="16"/>
      <c r="B732" s="16"/>
      <c r="C732" s="16"/>
      <c r="D732" s="16"/>
      <c r="E732" s="16"/>
      <c r="F732" s="16"/>
      <c r="G732" s="16"/>
      <c r="H732" s="16"/>
      <c r="I732" s="16"/>
      <c r="J732" s="16"/>
      <c r="K732" s="16"/>
      <c r="L732" s="16"/>
      <c r="M732" s="16"/>
      <c r="N732" s="16"/>
      <c r="O732" s="16"/>
      <c r="P732" s="16"/>
      <c r="Q732" s="16"/>
      <c r="R732" s="16"/>
      <c r="S732" s="16"/>
      <c r="T732" s="16"/>
      <c r="U732" s="13"/>
      <c r="V732" s="16"/>
      <c r="W732" s="16"/>
      <c r="X732" s="16"/>
      <c r="Y732" s="8"/>
    </row>
    <row r="733" spans="1:25" ht="15.75" customHeight="1">
      <c r="A733" s="16"/>
      <c r="B733" s="16"/>
      <c r="C733" s="16"/>
      <c r="D733" s="16"/>
      <c r="E733" s="16"/>
      <c r="F733" s="16"/>
      <c r="G733" s="16"/>
      <c r="H733" s="16"/>
      <c r="I733" s="16"/>
      <c r="J733" s="16"/>
      <c r="K733" s="16"/>
      <c r="L733" s="16"/>
      <c r="M733" s="16"/>
      <c r="N733" s="16"/>
      <c r="O733" s="16"/>
      <c r="P733" s="16"/>
      <c r="Q733" s="16"/>
      <c r="R733" s="16"/>
      <c r="S733" s="16"/>
      <c r="T733" s="16"/>
      <c r="U733" s="13"/>
      <c r="V733" s="16"/>
      <c r="W733" s="16"/>
      <c r="X733" s="16"/>
      <c r="Y733" s="8"/>
    </row>
    <row r="734" spans="1:25" ht="15.75" customHeight="1">
      <c r="A734" s="16"/>
      <c r="B734" s="16"/>
      <c r="C734" s="16"/>
      <c r="D734" s="16"/>
      <c r="E734" s="16"/>
      <c r="F734" s="16"/>
      <c r="G734" s="16"/>
      <c r="H734" s="16"/>
      <c r="I734" s="16"/>
      <c r="J734" s="16"/>
      <c r="K734" s="16"/>
      <c r="L734" s="16"/>
      <c r="M734" s="16"/>
      <c r="N734" s="16"/>
      <c r="O734" s="16"/>
      <c r="P734" s="16"/>
      <c r="Q734" s="16"/>
      <c r="R734" s="16"/>
      <c r="S734" s="16"/>
      <c r="T734" s="16"/>
      <c r="U734" s="13"/>
      <c r="V734" s="16"/>
      <c r="W734" s="16"/>
      <c r="X734" s="16"/>
      <c r="Y734" s="8"/>
    </row>
    <row r="735" spans="1:25" ht="15.75" customHeight="1">
      <c r="A735" s="16"/>
      <c r="B735" s="16"/>
      <c r="C735" s="16"/>
      <c r="D735" s="16"/>
      <c r="E735" s="16"/>
      <c r="F735" s="16"/>
      <c r="G735" s="16"/>
      <c r="H735" s="16"/>
      <c r="I735" s="16"/>
      <c r="J735" s="16"/>
      <c r="K735" s="16"/>
      <c r="L735" s="16"/>
      <c r="M735" s="16"/>
      <c r="N735" s="16"/>
      <c r="O735" s="16"/>
      <c r="P735" s="16"/>
      <c r="Q735" s="16"/>
      <c r="R735" s="16"/>
      <c r="S735" s="16"/>
      <c r="T735" s="16"/>
      <c r="U735" s="13"/>
      <c r="V735" s="16"/>
      <c r="W735" s="16"/>
      <c r="X735" s="16"/>
      <c r="Y735" s="8"/>
    </row>
    <row r="736" spans="1:25" ht="15.75" customHeight="1">
      <c r="A736" s="16"/>
      <c r="B736" s="16"/>
      <c r="C736" s="16"/>
      <c r="D736" s="16"/>
      <c r="E736" s="16"/>
      <c r="F736" s="16"/>
      <c r="G736" s="16"/>
      <c r="H736" s="16"/>
      <c r="I736" s="16"/>
      <c r="J736" s="16"/>
      <c r="K736" s="16"/>
      <c r="L736" s="16"/>
      <c r="M736" s="16"/>
      <c r="N736" s="16"/>
      <c r="O736" s="16"/>
      <c r="P736" s="16"/>
      <c r="Q736" s="16"/>
      <c r="R736" s="16"/>
      <c r="S736" s="16"/>
      <c r="T736" s="16"/>
      <c r="U736" s="13"/>
      <c r="V736" s="16"/>
      <c r="W736" s="16"/>
      <c r="X736" s="16"/>
      <c r="Y736" s="8"/>
    </row>
    <row r="737" spans="1:25" ht="15.75" customHeight="1">
      <c r="A737" s="16"/>
      <c r="B737" s="16"/>
      <c r="C737" s="16"/>
      <c r="D737" s="16"/>
      <c r="E737" s="16"/>
      <c r="F737" s="16"/>
      <c r="G737" s="16"/>
      <c r="H737" s="16"/>
      <c r="I737" s="16"/>
      <c r="J737" s="16"/>
      <c r="K737" s="16"/>
      <c r="L737" s="16"/>
      <c r="M737" s="16"/>
      <c r="N737" s="16"/>
      <c r="O737" s="16"/>
      <c r="P737" s="16"/>
      <c r="Q737" s="16"/>
      <c r="R737" s="16"/>
      <c r="S737" s="16"/>
      <c r="T737" s="16"/>
      <c r="U737" s="13"/>
      <c r="V737" s="16"/>
      <c r="W737" s="16"/>
      <c r="X737" s="16"/>
      <c r="Y737" s="8"/>
    </row>
    <row r="738" spans="1:25" ht="15.75" customHeight="1">
      <c r="A738" s="16"/>
      <c r="B738" s="16"/>
      <c r="C738" s="16"/>
      <c r="D738" s="16"/>
      <c r="E738" s="16"/>
      <c r="F738" s="16"/>
      <c r="G738" s="16"/>
      <c r="H738" s="16"/>
      <c r="I738" s="16"/>
      <c r="J738" s="16"/>
      <c r="K738" s="16"/>
      <c r="L738" s="16"/>
      <c r="M738" s="16"/>
      <c r="N738" s="16"/>
      <c r="O738" s="16"/>
      <c r="P738" s="16"/>
      <c r="Q738" s="16"/>
      <c r="R738" s="16"/>
      <c r="S738" s="16"/>
      <c r="T738" s="16"/>
      <c r="U738" s="13"/>
      <c r="V738" s="16"/>
      <c r="W738" s="16"/>
      <c r="X738" s="16"/>
      <c r="Y738" s="8"/>
    </row>
    <row r="739" spans="1:25" ht="15.75" customHeight="1">
      <c r="A739" s="16"/>
      <c r="B739" s="16"/>
      <c r="C739" s="16"/>
      <c r="D739" s="16"/>
      <c r="E739" s="16"/>
      <c r="F739" s="16"/>
      <c r="G739" s="16"/>
      <c r="H739" s="16"/>
      <c r="I739" s="16"/>
      <c r="J739" s="16"/>
      <c r="K739" s="16"/>
      <c r="L739" s="16"/>
      <c r="M739" s="16"/>
      <c r="N739" s="16"/>
      <c r="O739" s="16"/>
      <c r="P739" s="16"/>
      <c r="Q739" s="16"/>
      <c r="R739" s="16"/>
      <c r="S739" s="16"/>
      <c r="T739" s="16"/>
      <c r="U739" s="13"/>
      <c r="V739" s="16"/>
      <c r="W739" s="16"/>
      <c r="X739" s="16"/>
      <c r="Y739" s="8"/>
    </row>
    <row r="740" spans="1:25" ht="15.75" customHeight="1">
      <c r="A740" s="16"/>
      <c r="B740" s="16"/>
      <c r="C740" s="16"/>
      <c r="D740" s="16"/>
      <c r="E740" s="16"/>
      <c r="F740" s="16"/>
      <c r="G740" s="16"/>
      <c r="H740" s="16"/>
      <c r="I740" s="16"/>
      <c r="J740" s="16"/>
      <c r="K740" s="16"/>
      <c r="L740" s="16"/>
      <c r="M740" s="16"/>
      <c r="N740" s="16"/>
      <c r="O740" s="16"/>
      <c r="P740" s="16"/>
      <c r="Q740" s="16"/>
      <c r="R740" s="16"/>
      <c r="S740" s="16"/>
      <c r="T740" s="16"/>
      <c r="U740" s="13"/>
      <c r="V740" s="16"/>
      <c r="W740" s="16"/>
      <c r="X740" s="16"/>
      <c r="Y740" s="8"/>
    </row>
    <row r="741" spans="1:25" ht="15.75" customHeight="1">
      <c r="A741" s="16"/>
      <c r="B741" s="16"/>
      <c r="C741" s="16"/>
      <c r="D741" s="16"/>
      <c r="E741" s="16"/>
      <c r="F741" s="16"/>
      <c r="G741" s="16"/>
      <c r="H741" s="16"/>
      <c r="I741" s="16"/>
      <c r="J741" s="16"/>
      <c r="K741" s="16"/>
      <c r="L741" s="16"/>
      <c r="M741" s="16"/>
      <c r="N741" s="16"/>
      <c r="O741" s="16"/>
      <c r="P741" s="16"/>
      <c r="Q741" s="16"/>
      <c r="R741" s="16"/>
      <c r="S741" s="16"/>
      <c r="T741" s="16"/>
      <c r="U741" s="13"/>
      <c r="V741" s="16"/>
      <c r="W741" s="16"/>
      <c r="X741" s="16"/>
      <c r="Y741" s="8"/>
    </row>
    <row r="742" spans="1:25" ht="15.75" customHeight="1">
      <c r="A742" s="16"/>
      <c r="B742" s="16"/>
      <c r="C742" s="16"/>
      <c r="D742" s="16"/>
      <c r="E742" s="16"/>
      <c r="F742" s="16"/>
      <c r="G742" s="16"/>
      <c r="H742" s="16"/>
      <c r="I742" s="16"/>
      <c r="J742" s="16"/>
      <c r="K742" s="16"/>
      <c r="L742" s="16"/>
      <c r="M742" s="16"/>
      <c r="N742" s="16"/>
      <c r="O742" s="16"/>
      <c r="P742" s="16"/>
      <c r="Q742" s="16"/>
      <c r="R742" s="16"/>
      <c r="S742" s="16"/>
      <c r="T742" s="16"/>
      <c r="U742" s="13"/>
      <c r="V742" s="16"/>
      <c r="W742" s="16"/>
      <c r="X742" s="16"/>
      <c r="Y742" s="8"/>
    </row>
    <row r="743" spans="1:25" ht="15.75" customHeight="1">
      <c r="A743" s="16"/>
      <c r="B743" s="16"/>
      <c r="C743" s="16"/>
      <c r="D743" s="16"/>
      <c r="E743" s="16"/>
      <c r="F743" s="16"/>
      <c r="G743" s="16"/>
      <c r="H743" s="16"/>
      <c r="I743" s="16"/>
      <c r="J743" s="16"/>
      <c r="K743" s="16"/>
      <c r="L743" s="16"/>
      <c r="M743" s="16"/>
      <c r="N743" s="16"/>
      <c r="O743" s="16"/>
      <c r="P743" s="16"/>
      <c r="Q743" s="16"/>
      <c r="R743" s="16"/>
      <c r="S743" s="16"/>
      <c r="T743" s="16"/>
      <c r="U743" s="13"/>
      <c r="V743" s="16"/>
      <c r="W743" s="16"/>
      <c r="X743" s="16"/>
      <c r="Y743" s="8"/>
    </row>
    <row r="744" spans="1:25" ht="15.75" customHeight="1">
      <c r="A744" s="16"/>
      <c r="B744" s="16"/>
      <c r="C744" s="16"/>
      <c r="D744" s="16"/>
      <c r="E744" s="16"/>
      <c r="F744" s="16"/>
      <c r="G744" s="16"/>
      <c r="H744" s="16"/>
      <c r="I744" s="16"/>
      <c r="J744" s="16"/>
      <c r="K744" s="16"/>
      <c r="L744" s="16"/>
      <c r="M744" s="16"/>
      <c r="N744" s="16"/>
      <c r="O744" s="16"/>
      <c r="P744" s="16"/>
      <c r="Q744" s="16"/>
      <c r="R744" s="16"/>
      <c r="S744" s="16"/>
      <c r="T744" s="16"/>
      <c r="U744" s="13"/>
      <c r="V744" s="16"/>
      <c r="W744" s="16"/>
      <c r="X744" s="16"/>
      <c r="Y744" s="8"/>
    </row>
    <row r="745" spans="1:25" ht="15.75" customHeight="1">
      <c r="A745" s="16"/>
      <c r="B745" s="16"/>
      <c r="C745" s="16"/>
      <c r="D745" s="16"/>
      <c r="E745" s="16"/>
      <c r="F745" s="16"/>
      <c r="G745" s="16"/>
      <c r="H745" s="16"/>
      <c r="I745" s="16"/>
      <c r="J745" s="16"/>
      <c r="K745" s="16"/>
      <c r="L745" s="16"/>
      <c r="M745" s="16"/>
      <c r="N745" s="16"/>
      <c r="O745" s="16"/>
      <c r="P745" s="16"/>
      <c r="Q745" s="16"/>
      <c r="R745" s="16"/>
      <c r="S745" s="16"/>
      <c r="T745" s="16"/>
      <c r="U745" s="13"/>
      <c r="V745" s="16"/>
      <c r="W745" s="16"/>
      <c r="X745" s="16"/>
      <c r="Y745" s="8"/>
    </row>
    <row r="746" spans="1:25" ht="15.75" customHeight="1">
      <c r="A746" s="16"/>
      <c r="B746" s="16"/>
      <c r="C746" s="16"/>
      <c r="D746" s="16"/>
      <c r="E746" s="16"/>
      <c r="F746" s="16"/>
      <c r="G746" s="16"/>
      <c r="H746" s="16"/>
      <c r="I746" s="16"/>
      <c r="J746" s="16"/>
      <c r="K746" s="16"/>
      <c r="L746" s="16"/>
      <c r="M746" s="16"/>
      <c r="N746" s="16"/>
      <c r="O746" s="16"/>
      <c r="P746" s="16"/>
      <c r="Q746" s="16"/>
      <c r="R746" s="16"/>
      <c r="S746" s="16"/>
      <c r="T746" s="16"/>
      <c r="U746" s="13"/>
      <c r="V746" s="16"/>
      <c r="W746" s="16"/>
      <c r="X746" s="16"/>
      <c r="Y746" s="8"/>
    </row>
    <row r="747" spans="1:25" ht="15.75" customHeight="1">
      <c r="A747" s="16"/>
      <c r="B747" s="16"/>
      <c r="C747" s="16"/>
      <c r="D747" s="16"/>
      <c r="E747" s="16"/>
      <c r="F747" s="16"/>
      <c r="G747" s="16"/>
      <c r="H747" s="16"/>
      <c r="I747" s="16"/>
      <c r="J747" s="16"/>
      <c r="K747" s="16"/>
      <c r="L747" s="16"/>
      <c r="M747" s="16"/>
      <c r="N747" s="16"/>
      <c r="O747" s="16"/>
      <c r="P747" s="16"/>
      <c r="Q747" s="16"/>
      <c r="R747" s="16"/>
      <c r="S747" s="16"/>
      <c r="T747" s="16"/>
      <c r="U747" s="13"/>
      <c r="V747" s="16"/>
      <c r="W747" s="16"/>
      <c r="X747" s="16"/>
      <c r="Y747" s="8"/>
    </row>
    <row r="748" spans="1:25" ht="15.75" customHeight="1">
      <c r="A748" s="16"/>
      <c r="B748" s="16"/>
      <c r="C748" s="16"/>
      <c r="D748" s="16"/>
      <c r="E748" s="16"/>
      <c r="F748" s="16"/>
      <c r="G748" s="16"/>
      <c r="H748" s="16"/>
      <c r="I748" s="16"/>
      <c r="J748" s="16"/>
      <c r="K748" s="16"/>
      <c r="L748" s="16"/>
      <c r="M748" s="16"/>
      <c r="N748" s="16"/>
      <c r="O748" s="16"/>
      <c r="P748" s="16"/>
      <c r="Q748" s="16"/>
      <c r="R748" s="16"/>
      <c r="S748" s="16"/>
      <c r="T748" s="16"/>
      <c r="U748" s="13"/>
      <c r="V748" s="16"/>
      <c r="W748" s="16"/>
      <c r="X748" s="16"/>
      <c r="Y748" s="8"/>
    </row>
    <row r="749" spans="1:25" ht="15.75" customHeight="1">
      <c r="A749" s="16"/>
      <c r="B749" s="16"/>
      <c r="C749" s="16"/>
      <c r="D749" s="16"/>
      <c r="E749" s="16"/>
      <c r="F749" s="16"/>
      <c r="G749" s="16"/>
      <c r="H749" s="16"/>
      <c r="I749" s="16"/>
      <c r="J749" s="16"/>
      <c r="K749" s="16"/>
      <c r="L749" s="16"/>
      <c r="M749" s="16"/>
      <c r="N749" s="16"/>
      <c r="O749" s="16"/>
      <c r="P749" s="16"/>
      <c r="Q749" s="16"/>
      <c r="R749" s="16"/>
      <c r="S749" s="16"/>
      <c r="T749" s="16"/>
      <c r="U749" s="13"/>
      <c r="V749" s="16"/>
      <c r="W749" s="16"/>
      <c r="X749" s="16"/>
      <c r="Y749" s="8"/>
    </row>
    <row r="750" spans="1:25" ht="15.75" customHeight="1">
      <c r="A750" s="16"/>
      <c r="B750" s="16"/>
      <c r="C750" s="16"/>
      <c r="D750" s="16"/>
      <c r="E750" s="16"/>
      <c r="F750" s="16"/>
      <c r="G750" s="16"/>
      <c r="H750" s="16"/>
      <c r="I750" s="16"/>
      <c r="J750" s="16"/>
      <c r="K750" s="16"/>
      <c r="L750" s="16"/>
      <c r="M750" s="16"/>
      <c r="N750" s="16"/>
      <c r="O750" s="16"/>
      <c r="P750" s="16"/>
      <c r="Q750" s="16"/>
      <c r="R750" s="16"/>
      <c r="S750" s="16"/>
      <c r="T750" s="16"/>
      <c r="U750" s="13"/>
      <c r="V750" s="16"/>
      <c r="W750" s="16"/>
      <c r="X750" s="16"/>
      <c r="Y750" s="8"/>
    </row>
    <row r="751" spans="1:25" ht="15.75" customHeight="1">
      <c r="A751" s="16"/>
      <c r="B751" s="16"/>
      <c r="C751" s="16"/>
      <c r="D751" s="16"/>
      <c r="E751" s="16"/>
      <c r="F751" s="16"/>
      <c r="G751" s="16"/>
      <c r="H751" s="16"/>
      <c r="I751" s="16"/>
      <c r="J751" s="16"/>
      <c r="K751" s="16"/>
      <c r="L751" s="16"/>
      <c r="M751" s="16"/>
      <c r="N751" s="16"/>
      <c r="O751" s="16"/>
      <c r="P751" s="16"/>
      <c r="Q751" s="16"/>
      <c r="R751" s="16"/>
      <c r="S751" s="16"/>
      <c r="T751" s="16"/>
      <c r="U751" s="13"/>
      <c r="V751" s="16"/>
      <c r="W751" s="16"/>
      <c r="X751" s="16"/>
      <c r="Y751" s="8"/>
    </row>
    <row r="752" spans="1:25" ht="15.75" customHeight="1">
      <c r="A752" s="16"/>
      <c r="B752" s="16"/>
      <c r="C752" s="16"/>
      <c r="D752" s="16"/>
      <c r="E752" s="16"/>
      <c r="F752" s="16"/>
      <c r="G752" s="16"/>
      <c r="H752" s="16"/>
      <c r="I752" s="16"/>
      <c r="J752" s="16"/>
      <c r="K752" s="16"/>
      <c r="L752" s="16"/>
      <c r="M752" s="16"/>
      <c r="N752" s="16"/>
      <c r="O752" s="16"/>
      <c r="P752" s="16"/>
      <c r="Q752" s="16"/>
      <c r="R752" s="16"/>
      <c r="S752" s="16"/>
      <c r="T752" s="16"/>
      <c r="U752" s="13"/>
      <c r="V752" s="16"/>
      <c r="W752" s="16"/>
      <c r="X752" s="16"/>
      <c r="Y752" s="8"/>
    </row>
    <row r="753" spans="1:25" ht="15.75" customHeight="1">
      <c r="A753" s="16"/>
      <c r="B753" s="16"/>
      <c r="C753" s="16"/>
      <c r="D753" s="16"/>
      <c r="E753" s="16"/>
      <c r="F753" s="16"/>
      <c r="G753" s="16"/>
      <c r="H753" s="16"/>
      <c r="I753" s="16"/>
      <c r="J753" s="16"/>
      <c r="K753" s="16"/>
      <c r="L753" s="16"/>
      <c r="M753" s="16"/>
      <c r="N753" s="16"/>
      <c r="O753" s="16"/>
      <c r="P753" s="16"/>
      <c r="Q753" s="16"/>
      <c r="R753" s="16"/>
      <c r="S753" s="16"/>
      <c r="T753" s="16"/>
      <c r="U753" s="13"/>
      <c r="V753" s="16"/>
      <c r="W753" s="16"/>
      <c r="X753" s="16"/>
      <c r="Y753" s="8"/>
    </row>
    <row r="754" spans="1:25" ht="15.75" customHeight="1">
      <c r="A754" s="16"/>
      <c r="B754" s="16"/>
      <c r="C754" s="16"/>
      <c r="D754" s="16"/>
      <c r="E754" s="16"/>
      <c r="F754" s="16"/>
      <c r="G754" s="16"/>
      <c r="H754" s="16"/>
      <c r="I754" s="16"/>
      <c r="J754" s="16"/>
      <c r="K754" s="16"/>
      <c r="L754" s="16"/>
      <c r="M754" s="16"/>
      <c r="N754" s="16"/>
      <c r="O754" s="16"/>
      <c r="P754" s="16"/>
      <c r="Q754" s="16"/>
      <c r="R754" s="16"/>
      <c r="S754" s="16"/>
      <c r="T754" s="16"/>
      <c r="U754" s="13"/>
      <c r="V754" s="16"/>
      <c r="W754" s="16"/>
      <c r="X754" s="16"/>
      <c r="Y754" s="8"/>
    </row>
    <row r="755" spans="1:25" ht="15.75" customHeight="1">
      <c r="A755" s="16"/>
      <c r="B755" s="16"/>
      <c r="C755" s="16"/>
      <c r="D755" s="16"/>
      <c r="E755" s="16"/>
      <c r="F755" s="16"/>
      <c r="G755" s="16"/>
      <c r="H755" s="16"/>
      <c r="I755" s="16"/>
      <c r="J755" s="16"/>
      <c r="K755" s="16"/>
      <c r="L755" s="16"/>
      <c r="M755" s="16"/>
      <c r="N755" s="16"/>
      <c r="O755" s="16"/>
      <c r="P755" s="16"/>
      <c r="Q755" s="16"/>
      <c r="R755" s="16"/>
      <c r="S755" s="16"/>
      <c r="T755" s="16"/>
      <c r="U755" s="13"/>
      <c r="V755" s="16"/>
      <c r="W755" s="16"/>
      <c r="X755" s="16"/>
      <c r="Y755" s="8"/>
    </row>
    <row r="756" spans="1:25" ht="15.75" customHeight="1">
      <c r="A756" s="16"/>
      <c r="B756" s="16"/>
      <c r="C756" s="16"/>
      <c r="D756" s="16"/>
      <c r="E756" s="16"/>
      <c r="F756" s="16"/>
      <c r="G756" s="16"/>
      <c r="H756" s="16"/>
      <c r="I756" s="16"/>
      <c r="J756" s="16"/>
      <c r="K756" s="16"/>
      <c r="L756" s="16"/>
      <c r="M756" s="16"/>
      <c r="N756" s="16"/>
      <c r="O756" s="16"/>
      <c r="P756" s="16"/>
      <c r="Q756" s="16"/>
      <c r="R756" s="16"/>
      <c r="S756" s="16"/>
      <c r="T756" s="16"/>
      <c r="U756" s="13"/>
      <c r="V756" s="16"/>
      <c r="W756" s="16"/>
      <c r="X756" s="16"/>
      <c r="Y756" s="8"/>
    </row>
    <row r="757" spans="1:25" ht="15.75" customHeight="1">
      <c r="A757" s="16"/>
      <c r="B757" s="16"/>
      <c r="C757" s="16"/>
      <c r="D757" s="16"/>
      <c r="E757" s="16"/>
      <c r="F757" s="16"/>
      <c r="G757" s="16"/>
      <c r="H757" s="16"/>
      <c r="I757" s="16"/>
      <c r="J757" s="16"/>
      <c r="K757" s="16"/>
      <c r="L757" s="16"/>
      <c r="M757" s="16"/>
      <c r="N757" s="16"/>
      <c r="O757" s="16"/>
      <c r="P757" s="16"/>
      <c r="Q757" s="16"/>
      <c r="R757" s="16"/>
      <c r="S757" s="16"/>
      <c r="T757" s="16"/>
      <c r="U757" s="13"/>
      <c r="V757" s="16"/>
      <c r="W757" s="16"/>
      <c r="X757" s="16"/>
      <c r="Y757" s="8"/>
    </row>
    <row r="758" spans="1:25" ht="15.75" customHeight="1">
      <c r="A758" s="16"/>
      <c r="B758" s="16"/>
      <c r="C758" s="16"/>
      <c r="D758" s="16"/>
      <c r="E758" s="16"/>
      <c r="F758" s="16"/>
      <c r="G758" s="16"/>
      <c r="H758" s="16"/>
      <c r="I758" s="16"/>
      <c r="J758" s="16"/>
      <c r="K758" s="16"/>
      <c r="L758" s="16"/>
      <c r="M758" s="16"/>
      <c r="N758" s="16"/>
      <c r="O758" s="16"/>
      <c r="P758" s="16"/>
      <c r="Q758" s="16"/>
      <c r="R758" s="16"/>
      <c r="S758" s="16"/>
      <c r="T758" s="16"/>
      <c r="U758" s="13"/>
      <c r="V758" s="16"/>
      <c r="W758" s="16"/>
      <c r="X758" s="16"/>
      <c r="Y758" s="8"/>
    </row>
    <row r="759" spans="1:25" ht="15.75" customHeight="1">
      <c r="A759" s="16"/>
      <c r="B759" s="16"/>
      <c r="C759" s="16"/>
      <c r="D759" s="16"/>
      <c r="E759" s="16"/>
      <c r="F759" s="16"/>
      <c r="G759" s="16"/>
      <c r="H759" s="16"/>
      <c r="I759" s="16"/>
      <c r="J759" s="16"/>
      <c r="K759" s="16"/>
      <c r="L759" s="16"/>
      <c r="M759" s="16"/>
      <c r="N759" s="16"/>
      <c r="O759" s="16"/>
      <c r="P759" s="16"/>
      <c r="Q759" s="16"/>
      <c r="R759" s="16"/>
      <c r="S759" s="16"/>
      <c r="T759" s="16"/>
      <c r="U759" s="13"/>
      <c r="V759" s="16"/>
      <c r="W759" s="16"/>
      <c r="X759" s="16"/>
      <c r="Y759" s="8"/>
    </row>
    <row r="760" spans="1:25" ht="15.75" customHeight="1">
      <c r="A760" s="16"/>
      <c r="B760" s="16"/>
      <c r="C760" s="16"/>
      <c r="D760" s="16"/>
      <c r="E760" s="16"/>
      <c r="F760" s="16"/>
      <c r="G760" s="16"/>
      <c r="H760" s="16"/>
      <c r="I760" s="16"/>
      <c r="J760" s="16"/>
      <c r="K760" s="16"/>
      <c r="L760" s="16"/>
      <c r="M760" s="16"/>
      <c r="N760" s="16"/>
      <c r="O760" s="16"/>
      <c r="P760" s="16"/>
      <c r="Q760" s="16"/>
      <c r="R760" s="16"/>
      <c r="S760" s="16"/>
      <c r="T760" s="16"/>
      <c r="U760" s="13"/>
      <c r="V760" s="16"/>
      <c r="W760" s="16"/>
      <c r="X760" s="16"/>
      <c r="Y760" s="8"/>
    </row>
    <row r="761" spans="1:25" ht="15.75" customHeight="1">
      <c r="A761" s="16"/>
      <c r="B761" s="16"/>
      <c r="C761" s="16"/>
      <c r="D761" s="16"/>
      <c r="E761" s="16"/>
      <c r="F761" s="16"/>
      <c r="G761" s="16"/>
      <c r="H761" s="16"/>
      <c r="I761" s="16"/>
      <c r="J761" s="16"/>
      <c r="K761" s="16"/>
      <c r="L761" s="16"/>
      <c r="M761" s="16"/>
      <c r="N761" s="16"/>
      <c r="O761" s="16"/>
      <c r="P761" s="16"/>
      <c r="Q761" s="16"/>
      <c r="R761" s="16"/>
      <c r="S761" s="16"/>
      <c r="T761" s="16"/>
      <c r="U761" s="13"/>
      <c r="V761" s="16"/>
      <c r="W761" s="16"/>
      <c r="X761" s="16"/>
      <c r="Y761" s="8"/>
    </row>
    <row r="762" spans="1:25" ht="15.75" customHeight="1">
      <c r="A762" s="16"/>
      <c r="B762" s="16"/>
      <c r="C762" s="16"/>
      <c r="D762" s="16"/>
      <c r="E762" s="16"/>
      <c r="F762" s="16"/>
      <c r="G762" s="16"/>
      <c r="H762" s="16"/>
      <c r="I762" s="16"/>
      <c r="J762" s="16"/>
      <c r="K762" s="16"/>
      <c r="L762" s="16"/>
      <c r="M762" s="16"/>
      <c r="N762" s="16"/>
      <c r="O762" s="16"/>
      <c r="P762" s="16"/>
      <c r="Q762" s="16"/>
      <c r="R762" s="16"/>
      <c r="S762" s="16"/>
      <c r="T762" s="16"/>
      <c r="U762" s="13"/>
      <c r="V762" s="16"/>
      <c r="W762" s="16"/>
      <c r="X762" s="16"/>
      <c r="Y762" s="8"/>
    </row>
    <row r="763" spans="1:25" ht="15.75" customHeight="1">
      <c r="A763" s="16"/>
      <c r="B763" s="16"/>
      <c r="C763" s="16"/>
      <c r="D763" s="16"/>
      <c r="E763" s="16"/>
      <c r="F763" s="16"/>
      <c r="G763" s="16"/>
      <c r="H763" s="16"/>
      <c r="I763" s="16"/>
      <c r="J763" s="16"/>
      <c r="K763" s="16"/>
      <c r="L763" s="16"/>
      <c r="M763" s="16"/>
      <c r="N763" s="16"/>
      <c r="O763" s="16"/>
      <c r="P763" s="16"/>
      <c r="Q763" s="16"/>
      <c r="R763" s="16"/>
      <c r="S763" s="16"/>
      <c r="T763" s="16"/>
      <c r="U763" s="13"/>
      <c r="V763" s="16"/>
      <c r="W763" s="16"/>
      <c r="X763" s="16"/>
      <c r="Y763" s="8"/>
    </row>
    <row r="764" spans="1:25" ht="15.75" customHeight="1">
      <c r="A764" s="16"/>
      <c r="B764" s="16"/>
      <c r="C764" s="16"/>
      <c r="D764" s="16"/>
      <c r="E764" s="16"/>
      <c r="F764" s="16"/>
      <c r="G764" s="16"/>
      <c r="H764" s="16"/>
      <c r="I764" s="16"/>
      <c r="J764" s="16"/>
      <c r="K764" s="16"/>
      <c r="L764" s="16"/>
      <c r="M764" s="16"/>
      <c r="N764" s="16"/>
      <c r="O764" s="16"/>
      <c r="P764" s="16"/>
      <c r="Q764" s="16"/>
      <c r="R764" s="16"/>
      <c r="S764" s="16"/>
      <c r="T764" s="16"/>
      <c r="U764" s="13"/>
      <c r="V764" s="16"/>
      <c r="W764" s="16"/>
      <c r="X764" s="16"/>
      <c r="Y764" s="8"/>
    </row>
    <row r="765" spans="1:25" ht="15.75" customHeight="1">
      <c r="A765" s="16"/>
      <c r="B765" s="16"/>
      <c r="C765" s="16"/>
      <c r="D765" s="16"/>
      <c r="E765" s="16"/>
      <c r="F765" s="16"/>
      <c r="G765" s="16"/>
      <c r="H765" s="16"/>
      <c r="I765" s="16"/>
      <c r="J765" s="16"/>
      <c r="K765" s="16"/>
      <c r="L765" s="16"/>
      <c r="M765" s="16"/>
      <c r="N765" s="16"/>
      <c r="O765" s="16"/>
      <c r="P765" s="16"/>
      <c r="Q765" s="16"/>
      <c r="R765" s="16"/>
      <c r="S765" s="16"/>
      <c r="T765" s="16"/>
      <c r="U765" s="13"/>
      <c r="V765" s="16"/>
      <c r="W765" s="16"/>
      <c r="X765" s="16"/>
      <c r="Y765" s="8"/>
    </row>
    <row r="766" spans="1:25" ht="15.75" customHeight="1">
      <c r="A766" s="16"/>
      <c r="B766" s="16"/>
      <c r="C766" s="16"/>
      <c r="D766" s="16"/>
      <c r="E766" s="16"/>
      <c r="F766" s="16"/>
      <c r="G766" s="16"/>
      <c r="H766" s="16"/>
      <c r="I766" s="16"/>
      <c r="J766" s="16"/>
      <c r="K766" s="16"/>
      <c r="L766" s="16"/>
      <c r="M766" s="16"/>
      <c r="N766" s="16"/>
      <c r="O766" s="16"/>
      <c r="P766" s="16"/>
      <c r="Q766" s="16"/>
      <c r="R766" s="16"/>
      <c r="S766" s="16"/>
      <c r="T766" s="16"/>
      <c r="U766" s="13"/>
      <c r="V766" s="16"/>
      <c r="W766" s="16"/>
      <c r="X766" s="16"/>
      <c r="Y766" s="8"/>
    </row>
    <row r="767" spans="1:25" ht="15.75" customHeight="1">
      <c r="A767" s="16"/>
      <c r="B767" s="16"/>
      <c r="C767" s="16"/>
      <c r="D767" s="16"/>
      <c r="E767" s="16"/>
      <c r="F767" s="16"/>
      <c r="G767" s="16"/>
      <c r="H767" s="16"/>
      <c r="I767" s="16"/>
      <c r="J767" s="16"/>
      <c r="K767" s="16"/>
      <c r="L767" s="16"/>
      <c r="M767" s="16"/>
      <c r="N767" s="16"/>
      <c r="O767" s="16"/>
      <c r="P767" s="16"/>
      <c r="Q767" s="16"/>
      <c r="R767" s="16"/>
      <c r="S767" s="16"/>
      <c r="T767" s="16"/>
      <c r="U767" s="13"/>
      <c r="V767" s="16"/>
      <c r="W767" s="16"/>
      <c r="X767" s="16"/>
      <c r="Y767" s="8"/>
    </row>
    <row r="768" spans="1:25" ht="15.75" customHeight="1">
      <c r="A768" s="16"/>
      <c r="B768" s="16"/>
      <c r="C768" s="16"/>
      <c r="D768" s="16"/>
      <c r="E768" s="16"/>
      <c r="F768" s="16"/>
      <c r="G768" s="16"/>
      <c r="H768" s="16"/>
      <c r="I768" s="16"/>
      <c r="J768" s="16"/>
      <c r="K768" s="16"/>
      <c r="L768" s="16"/>
      <c r="M768" s="16"/>
      <c r="N768" s="16"/>
      <c r="O768" s="16"/>
      <c r="P768" s="16"/>
      <c r="Q768" s="16"/>
      <c r="R768" s="16"/>
      <c r="S768" s="16"/>
      <c r="T768" s="16"/>
      <c r="U768" s="13"/>
      <c r="V768" s="16"/>
      <c r="W768" s="16"/>
      <c r="X768" s="16"/>
      <c r="Y768" s="8"/>
    </row>
    <row r="769" spans="1:25" ht="15.75" customHeight="1">
      <c r="A769" s="16"/>
      <c r="B769" s="16"/>
      <c r="C769" s="16"/>
      <c r="D769" s="16"/>
      <c r="E769" s="16"/>
      <c r="F769" s="16"/>
      <c r="G769" s="16"/>
      <c r="H769" s="16"/>
      <c r="I769" s="16"/>
      <c r="J769" s="16"/>
      <c r="K769" s="16"/>
      <c r="L769" s="16"/>
      <c r="M769" s="16"/>
      <c r="N769" s="16"/>
      <c r="O769" s="16"/>
      <c r="P769" s="16"/>
      <c r="Q769" s="16"/>
      <c r="R769" s="16"/>
      <c r="S769" s="16"/>
      <c r="T769" s="16"/>
      <c r="U769" s="13"/>
      <c r="V769" s="16"/>
      <c r="W769" s="16"/>
      <c r="X769" s="16"/>
      <c r="Y769" s="8"/>
    </row>
    <row r="770" spans="1:25" ht="15.75" customHeight="1">
      <c r="A770" s="16"/>
      <c r="B770" s="16"/>
      <c r="C770" s="16"/>
      <c r="D770" s="16"/>
      <c r="E770" s="16"/>
      <c r="F770" s="16"/>
      <c r="G770" s="16"/>
      <c r="H770" s="16"/>
      <c r="I770" s="16"/>
      <c r="J770" s="16"/>
      <c r="K770" s="16"/>
      <c r="L770" s="16"/>
      <c r="M770" s="16"/>
      <c r="N770" s="16"/>
      <c r="O770" s="16"/>
      <c r="P770" s="16"/>
      <c r="Q770" s="16"/>
      <c r="R770" s="16"/>
      <c r="S770" s="16"/>
      <c r="T770" s="16"/>
      <c r="U770" s="13"/>
      <c r="V770" s="16"/>
      <c r="W770" s="16"/>
      <c r="X770" s="16"/>
      <c r="Y770" s="8"/>
    </row>
    <row r="771" spans="1:25" ht="15.75" customHeight="1">
      <c r="A771" s="16"/>
      <c r="B771" s="16"/>
      <c r="C771" s="16"/>
      <c r="D771" s="16"/>
      <c r="E771" s="16"/>
      <c r="F771" s="16"/>
      <c r="G771" s="16"/>
      <c r="H771" s="16"/>
      <c r="I771" s="16"/>
      <c r="J771" s="16"/>
      <c r="K771" s="16"/>
      <c r="L771" s="16"/>
      <c r="M771" s="16"/>
      <c r="N771" s="16"/>
      <c r="O771" s="16"/>
      <c r="P771" s="16"/>
      <c r="Q771" s="16"/>
      <c r="R771" s="16"/>
      <c r="S771" s="16"/>
      <c r="T771" s="16"/>
      <c r="U771" s="13"/>
      <c r="V771" s="16"/>
      <c r="W771" s="16"/>
      <c r="X771" s="16"/>
      <c r="Y771" s="8"/>
    </row>
    <row r="772" spans="1:25" ht="15.75" customHeight="1">
      <c r="A772" s="16"/>
      <c r="B772" s="16"/>
      <c r="C772" s="16"/>
      <c r="D772" s="16"/>
      <c r="E772" s="16"/>
      <c r="F772" s="16"/>
      <c r="G772" s="16"/>
      <c r="H772" s="16"/>
      <c r="I772" s="16"/>
      <c r="J772" s="16"/>
      <c r="K772" s="16"/>
      <c r="L772" s="16"/>
      <c r="M772" s="16"/>
      <c r="N772" s="16"/>
      <c r="O772" s="16"/>
      <c r="P772" s="16"/>
      <c r="Q772" s="16"/>
      <c r="R772" s="16"/>
      <c r="S772" s="16"/>
      <c r="T772" s="16"/>
      <c r="U772" s="13"/>
      <c r="V772" s="16"/>
      <c r="W772" s="16"/>
      <c r="X772" s="16"/>
      <c r="Y772" s="8"/>
    </row>
    <row r="773" spans="1:25" ht="15.75" customHeight="1">
      <c r="A773" s="16"/>
      <c r="B773" s="16"/>
      <c r="C773" s="16"/>
      <c r="D773" s="16"/>
      <c r="E773" s="16"/>
      <c r="F773" s="16"/>
      <c r="G773" s="16"/>
      <c r="H773" s="16"/>
      <c r="I773" s="16"/>
      <c r="J773" s="16"/>
      <c r="K773" s="16"/>
      <c r="L773" s="16"/>
      <c r="M773" s="16"/>
      <c r="N773" s="16"/>
      <c r="O773" s="16"/>
      <c r="P773" s="16"/>
      <c r="Q773" s="16"/>
      <c r="R773" s="16"/>
      <c r="S773" s="16"/>
      <c r="T773" s="16"/>
      <c r="U773" s="13"/>
      <c r="V773" s="16"/>
      <c r="W773" s="16"/>
      <c r="X773" s="16"/>
      <c r="Y773" s="8"/>
    </row>
    <row r="774" spans="1:25" ht="15.75" customHeight="1">
      <c r="A774" s="16"/>
      <c r="B774" s="16"/>
      <c r="C774" s="16"/>
      <c r="D774" s="16"/>
      <c r="E774" s="16"/>
      <c r="F774" s="16"/>
      <c r="G774" s="16"/>
      <c r="H774" s="16"/>
      <c r="I774" s="16"/>
      <c r="J774" s="16"/>
      <c r="K774" s="16"/>
      <c r="L774" s="16"/>
      <c r="M774" s="16"/>
      <c r="N774" s="16"/>
      <c r="O774" s="16"/>
      <c r="P774" s="16"/>
      <c r="Q774" s="16"/>
      <c r="R774" s="16"/>
      <c r="S774" s="16"/>
      <c r="T774" s="16"/>
      <c r="U774" s="13"/>
      <c r="V774" s="16"/>
      <c r="W774" s="16"/>
      <c r="X774" s="16"/>
      <c r="Y774" s="8"/>
    </row>
    <row r="775" spans="1:25" ht="15.75" customHeight="1">
      <c r="A775" s="16"/>
      <c r="B775" s="16"/>
      <c r="C775" s="16"/>
      <c r="D775" s="16"/>
      <c r="E775" s="16"/>
      <c r="F775" s="16"/>
      <c r="G775" s="16"/>
      <c r="H775" s="16"/>
      <c r="I775" s="16"/>
      <c r="J775" s="16"/>
      <c r="K775" s="16"/>
      <c r="L775" s="16"/>
      <c r="M775" s="16"/>
      <c r="N775" s="16"/>
      <c r="O775" s="16"/>
      <c r="P775" s="16"/>
      <c r="Q775" s="16"/>
      <c r="R775" s="16"/>
      <c r="S775" s="16"/>
      <c r="T775" s="16"/>
      <c r="U775" s="13"/>
      <c r="V775" s="16"/>
      <c r="W775" s="16"/>
      <c r="X775" s="16"/>
      <c r="Y775" s="8"/>
    </row>
    <row r="776" spans="1:25" ht="15.75" customHeight="1">
      <c r="A776" s="16"/>
      <c r="B776" s="16"/>
      <c r="C776" s="16"/>
      <c r="D776" s="16"/>
      <c r="E776" s="16"/>
      <c r="F776" s="16"/>
      <c r="G776" s="16"/>
      <c r="H776" s="16"/>
      <c r="I776" s="16"/>
      <c r="J776" s="16"/>
      <c r="K776" s="16"/>
      <c r="L776" s="16"/>
      <c r="M776" s="16"/>
      <c r="N776" s="16"/>
      <c r="O776" s="16"/>
      <c r="P776" s="16"/>
      <c r="Q776" s="16"/>
      <c r="R776" s="16"/>
      <c r="S776" s="16"/>
      <c r="T776" s="16"/>
      <c r="U776" s="13"/>
      <c r="V776" s="16"/>
      <c r="W776" s="16"/>
      <c r="X776" s="16"/>
      <c r="Y776" s="8"/>
    </row>
    <row r="777" spans="1:25" ht="15.75" customHeight="1">
      <c r="A777" s="16"/>
      <c r="B777" s="16"/>
      <c r="C777" s="16"/>
      <c r="D777" s="16"/>
      <c r="E777" s="16"/>
      <c r="F777" s="16"/>
      <c r="G777" s="16"/>
      <c r="H777" s="16"/>
      <c r="I777" s="16"/>
      <c r="J777" s="16"/>
      <c r="K777" s="16"/>
      <c r="L777" s="16"/>
      <c r="M777" s="16"/>
      <c r="N777" s="16"/>
      <c r="O777" s="16"/>
      <c r="P777" s="16"/>
      <c r="Q777" s="16"/>
      <c r="R777" s="16"/>
      <c r="S777" s="16"/>
      <c r="T777" s="16"/>
      <c r="U777" s="13"/>
      <c r="V777" s="16"/>
      <c r="W777" s="16"/>
      <c r="X777" s="16"/>
      <c r="Y777" s="8"/>
    </row>
    <row r="778" spans="1:25" ht="15.75" customHeight="1">
      <c r="A778" s="16"/>
      <c r="B778" s="16"/>
      <c r="C778" s="16"/>
      <c r="D778" s="16"/>
      <c r="E778" s="16"/>
      <c r="F778" s="16"/>
      <c r="G778" s="16"/>
      <c r="H778" s="16"/>
      <c r="I778" s="16"/>
      <c r="J778" s="16"/>
      <c r="K778" s="16"/>
      <c r="L778" s="16"/>
      <c r="M778" s="16"/>
      <c r="N778" s="16"/>
      <c r="O778" s="16"/>
      <c r="P778" s="16"/>
      <c r="Q778" s="16"/>
      <c r="R778" s="16"/>
      <c r="S778" s="16"/>
      <c r="T778" s="16"/>
      <c r="U778" s="13"/>
      <c r="V778" s="16"/>
      <c r="W778" s="16"/>
      <c r="X778" s="16"/>
      <c r="Y778" s="8"/>
    </row>
    <row r="779" spans="1:25" ht="15.75" customHeight="1">
      <c r="A779" s="16"/>
      <c r="B779" s="16"/>
      <c r="C779" s="16"/>
      <c r="D779" s="16"/>
      <c r="E779" s="16"/>
      <c r="F779" s="16"/>
      <c r="G779" s="16"/>
      <c r="H779" s="16"/>
      <c r="I779" s="16"/>
      <c r="J779" s="16"/>
      <c r="K779" s="16"/>
      <c r="L779" s="16"/>
      <c r="M779" s="16"/>
      <c r="N779" s="16"/>
      <c r="O779" s="16"/>
      <c r="P779" s="16"/>
      <c r="Q779" s="16"/>
      <c r="R779" s="16"/>
      <c r="S779" s="16"/>
      <c r="T779" s="16"/>
      <c r="U779" s="13"/>
      <c r="V779" s="16"/>
      <c r="W779" s="16"/>
      <c r="X779" s="16"/>
      <c r="Y779" s="8"/>
    </row>
    <row r="780" spans="1:25" ht="15.75" customHeight="1">
      <c r="A780" s="16"/>
      <c r="B780" s="16"/>
      <c r="C780" s="16"/>
      <c r="D780" s="16"/>
      <c r="E780" s="16"/>
      <c r="F780" s="16"/>
      <c r="G780" s="16"/>
      <c r="H780" s="16"/>
      <c r="I780" s="16"/>
      <c r="J780" s="16"/>
      <c r="K780" s="16"/>
      <c r="L780" s="16"/>
      <c r="M780" s="16"/>
      <c r="N780" s="16"/>
      <c r="O780" s="16"/>
      <c r="P780" s="16"/>
      <c r="Q780" s="16"/>
      <c r="R780" s="16"/>
      <c r="S780" s="16"/>
      <c r="T780" s="16"/>
      <c r="U780" s="13"/>
      <c r="V780" s="16"/>
      <c r="W780" s="16"/>
      <c r="X780" s="16"/>
      <c r="Y780" s="8"/>
    </row>
    <row r="781" spans="1:25" ht="15.75" customHeight="1">
      <c r="A781" s="16"/>
      <c r="B781" s="16"/>
      <c r="C781" s="16"/>
      <c r="D781" s="16"/>
      <c r="E781" s="16"/>
      <c r="F781" s="16"/>
      <c r="G781" s="16"/>
      <c r="H781" s="16"/>
      <c r="I781" s="16"/>
      <c r="J781" s="16"/>
      <c r="K781" s="16"/>
      <c r="L781" s="16"/>
      <c r="M781" s="16"/>
      <c r="N781" s="16"/>
      <c r="O781" s="16"/>
      <c r="P781" s="16"/>
      <c r="Q781" s="16"/>
      <c r="R781" s="16"/>
      <c r="S781" s="16"/>
      <c r="T781" s="16"/>
      <c r="U781" s="13"/>
      <c r="V781" s="16"/>
      <c r="W781" s="16"/>
      <c r="X781" s="16"/>
      <c r="Y781" s="8"/>
    </row>
    <row r="782" spans="1:25" ht="15.75" customHeight="1">
      <c r="A782" s="16"/>
      <c r="B782" s="16"/>
      <c r="C782" s="16"/>
      <c r="D782" s="16"/>
      <c r="E782" s="16"/>
      <c r="F782" s="16"/>
      <c r="G782" s="16"/>
      <c r="H782" s="16"/>
      <c r="I782" s="16"/>
      <c r="J782" s="16"/>
      <c r="K782" s="16"/>
      <c r="L782" s="16"/>
      <c r="M782" s="16"/>
      <c r="N782" s="16"/>
      <c r="O782" s="16"/>
      <c r="P782" s="16"/>
      <c r="Q782" s="16"/>
      <c r="R782" s="16"/>
      <c r="S782" s="16"/>
      <c r="T782" s="16"/>
      <c r="U782" s="13"/>
      <c r="V782" s="16"/>
      <c r="W782" s="16"/>
      <c r="X782" s="16"/>
      <c r="Y782" s="8"/>
    </row>
    <row r="783" spans="1:25" ht="15.75" customHeight="1">
      <c r="A783" s="16"/>
      <c r="B783" s="16"/>
      <c r="C783" s="16"/>
      <c r="D783" s="16"/>
      <c r="E783" s="16"/>
      <c r="F783" s="16"/>
      <c r="G783" s="16"/>
      <c r="H783" s="16"/>
      <c r="I783" s="16"/>
      <c r="J783" s="16"/>
      <c r="K783" s="16"/>
      <c r="L783" s="16"/>
      <c r="M783" s="16"/>
      <c r="N783" s="16"/>
      <c r="O783" s="16"/>
      <c r="P783" s="16"/>
      <c r="Q783" s="16"/>
      <c r="R783" s="16"/>
      <c r="S783" s="16"/>
      <c r="T783" s="16"/>
      <c r="U783" s="13"/>
      <c r="V783" s="16"/>
      <c r="W783" s="16"/>
      <c r="X783" s="16"/>
      <c r="Y783" s="8"/>
    </row>
    <row r="784" spans="1:25" ht="15.75" customHeight="1">
      <c r="A784" s="16"/>
      <c r="B784" s="16"/>
      <c r="C784" s="16"/>
      <c r="D784" s="16"/>
      <c r="E784" s="16"/>
      <c r="F784" s="16"/>
      <c r="G784" s="16"/>
      <c r="H784" s="16"/>
      <c r="I784" s="16"/>
      <c r="J784" s="16"/>
      <c r="K784" s="16"/>
      <c r="L784" s="16"/>
      <c r="M784" s="16"/>
      <c r="N784" s="16"/>
      <c r="O784" s="16"/>
      <c r="P784" s="16"/>
      <c r="Q784" s="16"/>
      <c r="R784" s="16"/>
      <c r="S784" s="16"/>
      <c r="T784" s="16"/>
      <c r="U784" s="13"/>
      <c r="V784" s="16"/>
      <c r="W784" s="16"/>
      <c r="X784" s="16"/>
      <c r="Y784" s="8"/>
    </row>
    <row r="785" spans="1:25" ht="15.75" customHeight="1">
      <c r="A785" s="16"/>
      <c r="B785" s="16"/>
      <c r="C785" s="16"/>
      <c r="D785" s="16"/>
      <c r="E785" s="16"/>
      <c r="F785" s="16"/>
      <c r="G785" s="16"/>
      <c r="H785" s="16"/>
      <c r="I785" s="16"/>
      <c r="J785" s="16"/>
      <c r="K785" s="16"/>
      <c r="L785" s="16"/>
      <c r="M785" s="16"/>
      <c r="N785" s="16"/>
      <c r="O785" s="16"/>
      <c r="P785" s="16"/>
      <c r="Q785" s="16"/>
      <c r="R785" s="16"/>
      <c r="S785" s="16"/>
      <c r="T785" s="16"/>
      <c r="U785" s="13"/>
      <c r="V785" s="16"/>
      <c r="W785" s="16"/>
      <c r="X785" s="16"/>
      <c r="Y785" s="8"/>
    </row>
    <row r="786" spans="1:25" ht="15.75" customHeight="1">
      <c r="A786" s="16"/>
      <c r="B786" s="16"/>
      <c r="C786" s="16"/>
      <c r="D786" s="16"/>
      <c r="E786" s="16"/>
      <c r="F786" s="16"/>
      <c r="G786" s="16"/>
      <c r="H786" s="16"/>
      <c r="I786" s="16"/>
      <c r="J786" s="16"/>
      <c r="K786" s="16"/>
      <c r="L786" s="16"/>
      <c r="M786" s="16"/>
      <c r="N786" s="16"/>
      <c r="O786" s="16"/>
      <c r="P786" s="16"/>
      <c r="Q786" s="16"/>
      <c r="R786" s="16"/>
      <c r="S786" s="16"/>
      <c r="T786" s="16"/>
      <c r="U786" s="13"/>
      <c r="V786" s="16"/>
      <c r="W786" s="16"/>
      <c r="X786" s="16"/>
      <c r="Y786" s="8"/>
    </row>
    <row r="787" spans="1:25" ht="15.75" customHeight="1">
      <c r="A787" s="16"/>
      <c r="B787" s="16"/>
      <c r="C787" s="16"/>
      <c r="D787" s="16"/>
      <c r="E787" s="16"/>
      <c r="F787" s="16"/>
      <c r="G787" s="16"/>
      <c r="H787" s="16"/>
      <c r="I787" s="16"/>
      <c r="J787" s="16"/>
      <c r="K787" s="16"/>
      <c r="L787" s="16"/>
      <c r="M787" s="16"/>
      <c r="N787" s="16"/>
      <c r="O787" s="16"/>
      <c r="P787" s="16"/>
      <c r="Q787" s="16"/>
      <c r="R787" s="16"/>
      <c r="S787" s="16"/>
      <c r="T787" s="16"/>
      <c r="U787" s="13"/>
      <c r="V787" s="16"/>
      <c r="W787" s="16"/>
      <c r="X787" s="16"/>
      <c r="Y787" s="8"/>
    </row>
    <row r="788" spans="1:25" ht="15.75" customHeight="1">
      <c r="A788" s="16"/>
      <c r="B788" s="16"/>
      <c r="C788" s="16"/>
      <c r="D788" s="16"/>
      <c r="E788" s="16"/>
      <c r="F788" s="16"/>
      <c r="G788" s="16"/>
      <c r="H788" s="16"/>
      <c r="I788" s="16"/>
      <c r="J788" s="16"/>
      <c r="K788" s="16"/>
      <c r="L788" s="16"/>
      <c r="M788" s="16"/>
      <c r="N788" s="16"/>
      <c r="O788" s="16"/>
      <c r="P788" s="16"/>
      <c r="Q788" s="16"/>
      <c r="R788" s="16"/>
      <c r="S788" s="16"/>
      <c r="T788" s="16"/>
      <c r="U788" s="13"/>
      <c r="V788" s="16"/>
      <c r="W788" s="16"/>
      <c r="X788" s="16"/>
      <c r="Y788" s="8"/>
    </row>
    <row r="789" spans="1:25" ht="15.75" customHeight="1">
      <c r="A789" s="16"/>
      <c r="B789" s="16"/>
      <c r="C789" s="16"/>
      <c r="D789" s="16"/>
      <c r="E789" s="16"/>
      <c r="F789" s="16"/>
      <c r="G789" s="16"/>
      <c r="H789" s="16"/>
      <c r="I789" s="16"/>
      <c r="J789" s="16"/>
      <c r="K789" s="16"/>
      <c r="L789" s="16"/>
      <c r="M789" s="16"/>
      <c r="N789" s="16"/>
      <c r="O789" s="16"/>
      <c r="P789" s="16"/>
      <c r="Q789" s="16"/>
      <c r="R789" s="16"/>
      <c r="S789" s="16"/>
      <c r="T789" s="16"/>
      <c r="U789" s="13"/>
      <c r="V789" s="16"/>
      <c r="W789" s="16"/>
      <c r="X789" s="16"/>
      <c r="Y789" s="8"/>
    </row>
    <row r="790" spans="1:25" ht="15.75" customHeight="1">
      <c r="A790" s="16"/>
      <c r="B790" s="16"/>
      <c r="C790" s="16"/>
      <c r="D790" s="16"/>
      <c r="E790" s="16"/>
      <c r="F790" s="16"/>
      <c r="G790" s="16"/>
      <c r="H790" s="16"/>
      <c r="I790" s="16"/>
      <c r="J790" s="16"/>
      <c r="K790" s="16"/>
      <c r="L790" s="16"/>
      <c r="M790" s="16"/>
      <c r="N790" s="16"/>
      <c r="O790" s="16"/>
      <c r="P790" s="16"/>
      <c r="Q790" s="16"/>
      <c r="R790" s="16"/>
      <c r="S790" s="16"/>
      <c r="T790" s="16"/>
      <c r="U790" s="13"/>
      <c r="V790" s="16"/>
      <c r="W790" s="16"/>
      <c r="X790" s="16"/>
      <c r="Y790" s="8"/>
    </row>
    <row r="791" spans="1:25" ht="15.75" customHeight="1">
      <c r="A791" s="16"/>
      <c r="B791" s="16"/>
      <c r="C791" s="16"/>
      <c r="D791" s="16"/>
      <c r="E791" s="16"/>
      <c r="F791" s="16"/>
      <c r="G791" s="16"/>
      <c r="H791" s="16"/>
      <c r="I791" s="16"/>
      <c r="J791" s="16"/>
      <c r="K791" s="16"/>
      <c r="L791" s="16"/>
      <c r="M791" s="16"/>
      <c r="N791" s="16"/>
      <c r="O791" s="16"/>
      <c r="P791" s="16"/>
      <c r="Q791" s="16"/>
      <c r="R791" s="16"/>
      <c r="S791" s="16"/>
      <c r="T791" s="16"/>
      <c r="U791" s="13"/>
      <c r="V791" s="16"/>
      <c r="W791" s="16"/>
      <c r="X791" s="16"/>
      <c r="Y791" s="8"/>
    </row>
    <row r="792" spans="1:25" ht="15.75" customHeight="1">
      <c r="A792" s="16"/>
      <c r="B792" s="16"/>
      <c r="C792" s="16"/>
      <c r="D792" s="16"/>
      <c r="E792" s="16"/>
      <c r="F792" s="16"/>
      <c r="G792" s="16"/>
      <c r="H792" s="16"/>
      <c r="I792" s="16"/>
      <c r="J792" s="16"/>
      <c r="K792" s="16"/>
      <c r="L792" s="16"/>
      <c r="M792" s="16"/>
      <c r="N792" s="16"/>
      <c r="O792" s="16"/>
      <c r="P792" s="16"/>
      <c r="Q792" s="16"/>
      <c r="R792" s="16"/>
      <c r="S792" s="16"/>
      <c r="T792" s="16"/>
      <c r="U792" s="13"/>
      <c r="V792" s="16"/>
      <c r="W792" s="16"/>
      <c r="X792" s="16"/>
      <c r="Y792" s="8"/>
    </row>
    <row r="793" spans="1:25" ht="15.75" customHeight="1">
      <c r="A793" s="16"/>
      <c r="B793" s="16"/>
      <c r="C793" s="16"/>
      <c r="D793" s="16"/>
      <c r="E793" s="16"/>
      <c r="F793" s="16"/>
      <c r="G793" s="16"/>
      <c r="H793" s="16"/>
      <c r="I793" s="16"/>
      <c r="J793" s="16"/>
      <c r="K793" s="16"/>
      <c r="L793" s="16"/>
      <c r="M793" s="16"/>
      <c r="N793" s="16"/>
      <c r="O793" s="16"/>
      <c r="P793" s="16"/>
      <c r="Q793" s="16"/>
      <c r="R793" s="16"/>
      <c r="S793" s="16"/>
      <c r="T793" s="16"/>
      <c r="U793" s="13"/>
      <c r="V793" s="16"/>
      <c r="W793" s="16"/>
      <c r="X793" s="16"/>
      <c r="Y793" s="8"/>
    </row>
    <row r="794" spans="1:25" ht="15.75" customHeight="1">
      <c r="A794" s="16"/>
      <c r="B794" s="16"/>
      <c r="C794" s="16"/>
      <c r="D794" s="16"/>
      <c r="E794" s="16"/>
      <c r="F794" s="16"/>
      <c r="G794" s="16"/>
      <c r="H794" s="16"/>
      <c r="I794" s="16"/>
      <c r="J794" s="16"/>
      <c r="K794" s="16"/>
      <c r="L794" s="16"/>
      <c r="M794" s="16"/>
      <c r="N794" s="16"/>
      <c r="O794" s="16"/>
      <c r="P794" s="16"/>
      <c r="Q794" s="16"/>
      <c r="R794" s="16"/>
      <c r="S794" s="16"/>
      <c r="T794" s="16"/>
      <c r="U794" s="13"/>
      <c r="V794" s="16"/>
      <c r="W794" s="16"/>
      <c r="X794" s="16"/>
      <c r="Y794" s="8"/>
    </row>
    <row r="795" spans="1:25" ht="15.75" customHeight="1">
      <c r="A795" s="16"/>
      <c r="B795" s="16"/>
      <c r="C795" s="16"/>
      <c r="D795" s="16"/>
      <c r="E795" s="16"/>
      <c r="F795" s="16"/>
      <c r="G795" s="16"/>
      <c r="H795" s="16"/>
      <c r="I795" s="16"/>
      <c r="J795" s="16"/>
      <c r="K795" s="16"/>
      <c r="L795" s="16"/>
      <c r="M795" s="16"/>
      <c r="N795" s="16"/>
      <c r="O795" s="16"/>
      <c r="P795" s="16"/>
      <c r="Q795" s="16"/>
      <c r="R795" s="16"/>
      <c r="S795" s="16"/>
      <c r="T795" s="16"/>
      <c r="U795" s="13"/>
      <c r="V795" s="16"/>
      <c r="W795" s="16"/>
      <c r="X795" s="16"/>
      <c r="Y795" s="8"/>
    </row>
    <row r="796" spans="1:25" ht="15.75" customHeight="1">
      <c r="A796" s="16"/>
      <c r="B796" s="16"/>
      <c r="C796" s="16"/>
      <c r="D796" s="16"/>
      <c r="E796" s="16"/>
      <c r="F796" s="16"/>
      <c r="G796" s="16"/>
      <c r="H796" s="16"/>
      <c r="I796" s="16"/>
      <c r="J796" s="16"/>
      <c r="K796" s="16"/>
      <c r="L796" s="16"/>
      <c r="M796" s="16"/>
      <c r="N796" s="16"/>
      <c r="O796" s="16"/>
      <c r="P796" s="16"/>
      <c r="Q796" s="16"/>
      <c r="R796" s="16"/>
      <c r="S796" s="16"/>
      <c r="T796" s="16"/>
      <c r="U796" s="13"/>
      <c r="V796" s="16"/>
      <c r="W796" s="16"/>
      <c r="X796" s="16"/>
      <c r="Y796" s="8"/>
    </row>
    <row r="797" spans="1:25" ht="15.75" customHeight="1">
      <c r="A797" s="16"/>
      <c r="B797" s="16"/>
      <c r="C797" s="16"/>
      <c r="D797" s="16"/>
      <c r="E797" s="16"/>
      <c r="F797" s="16"/>
      <c r="G797" s="16"/>
      <c r="H797" s="16"/>
      <c r="I797" s="16"/>
      <c r="J797" s="16"/>
      <c r="K797" s="16"/>
      <c r="L797" s="16"/>
      <c r="M797" s="16"/>
      <c r="N797" s="16"/>
      <c r="O797" s="16"/>
      <c r="P797" s="16"/>
      <c r="Q797" s="16"/>
      <c r="R797" s="16"/>
      <c r="S797" s="16"/>
      <c r="T797" s="16"/>
      <c r="U797" s="13"/>
      <c r="V797" s="16"/>
      <c r="W797" s="16"/>
      <c r="X797" s="16"/>
      <c r="Y797" s="8"/>
    </row>
    <row r="798" spans="1:25" ht="15.75" customHeight="1">
      <c r="A798" s="16"/>
      <c r="B798" s="16"/>
      <c r="C798" s="16"/>
      <c r="D798" s="16"/>
      <c r="E798" s="16"/>
      <c r="F798" s="16"/>
      <c r="G798" s="16"/>
      <c r="H798" s="16"/>
      <c r="I798" s="16"/>
      <c r="J798" s="16"/>
      <c r="K798" s="16"/>
      <c r="L798" s="16"/>
      <c r="M798" s="16"/>
      <c r="N798" s="16"/>
      <c r="O798" s="16"/>
      <c r="P798" s="16"/>
      <c r="Q798" s="16"/>
      <c r="R798" s="16"/>
      <c r="S798" s="16"/>
      <c r="T798" s="16"/>
      <c r="U798" s="13"/>
      <c r="V798" s="16"/>
      <c r="W798" s="16"/>
      <c r="X798" s="16"/>
      <c r="Y798" s="8"/>
    </row>
    <row r="799" spans="1:25" ht="15.75" customHeight="1">
      <c r="A799" s="16"/>
      <c r="B799" s="16"/>
      <c r="C799" s="16"/>
      <c r="D799" s="16"/>
      <c r="E799" s="16"/>
      <c r="F799" s="16"/>
      <c r="G799" s="16"/>
      <c r="H799" s="16"/>
      <c r="I799" s="16"/>
      <c r="J799" s="16"/>
      <c r="K799" s="16"/>
      <c r="L799" s="16"/>
      <c r="M799" s="16"/>
      <c r="N799" s="16"/>
      <c r="O799" s="16"/>
      <c r="P799" s="16"/>
      <c r="Q799" s="16"/>
      <c r="R799" s="16"/>
      <c r="S799" s="16"/>
      <c r="T799" s="16"/>
      <c r="U799" s="13"/>
      <c r="V799" s="16"/>
      <c r="W799" s="16"/>
      <c r="X799" s="16"/>
      <c r="Y799" s="8"/>
    </row>
    <row r="800" spans="1:25" ht="15.75" customHeight="1">
      <c r="A800" s="16"/>
      <c r="B800" s="16"/>
      <c r="C800" s="16"/>
      <c r="D800" s="16"/>
      <c r="E800" s="16"/>
      <c r="F800" s="16"/>
      <c r="G800" s="16"/>
      <c r="H800" s="16"/>
      <c r="I800" s="16"/>
      <c r="J800" s="16"/>
      <c r="K800" s="16"/>
      <c r="L800" s="16"/>
      <c r="M800" s="16"/>
      <c r="N800" s="16"/>
      <c r="O800" s="16"/>
      <c r="P800" s="16"/>
      <c r="Q800" s="16"/>
      <c r="R800" s="16"/>
      <c r="S800" s="16"/>
      <c r="T800" s="16"/>
      <c r="U800" s="13"/>
      <c r="V800" s="16"/>
      <c r="W800" s="16"/>
      <c r="X800" s="16"/>
      <c r="Y800" s="8"/>
    </row>
    <row r="801" spans="1:25" ht="15.75" customHeight="1">
      <c r="A801" s="16"/>
      <c r="B801" s="16"/>
      <c r="C801" s="16"/>
      <c r="D801" s="16"/>
      <c r="E801" s="16"/>
      <c r="F801" s="16"/>
      <c r="G801" s="16"/>
      <c r="H801" s="16"/>
      <c r="I801" s="16"/>
      <c r="J801" s="16"/>
      <c r="K801" s="16"/>
      <c r="L801" s="16"/>
      <c r="M801" s="16"/>
      <c r="N801" s="16"/>
      <c r="O801" s="16"/>
      <c r="P801" s="16"/>
      <c r="Q801" s="16"/>
      <c r="R801" s="16"/>
      <c r="S801" s="16"/>
      <c r="T801" s="16"/>
      <c r="U801" s="13"/>
      <c r="V801" s="16"/>
      <c r="W801" s="16"/>
      <c r="X801" s="16"/>
      <c r="Y801" s="8"/>
    </row>
    <row r="802" spans="1:25" ht="15.75" customHeight="1">
      <c r="A802" s="16"/>
      <c r="B802" s="16"/>
      <c r="C802" s="16"/>
      <c r="D802" s="16"/>
      <c r="E802" s="16"/>
      <c r="F802" s="16"/>
      <c r="G802" s="16"/>
      <c r="H802" s="16"/>
      <c r="I802" s="16"/>
      <c r="J802" s="16"/>
      <c r="K802" s="16"/>
      <c r="L802" s="16"/>
      <c r="M802" s="16"/>
      <c r="N802" s="16"/>
      <c r="O802" s="16"/>
      <c r="P802" s="16"/>
      <c r="Q802" s="16"/>
      <c r="R802" s="16"/>
      <c r="S802" s="16"/>
      <c r="T802" s="16"/>
      <c r="U802" s="13"/>
      <c r="V802" s="16"/>
      <c r="W802" s="16"/>
      <c r="X802" s="16"/>
      <c r="Y802" s="8"/>
    </row>
    <row r="803" spans="1:25" ht="15.75" customHeight="1">
      <c r="A803" s="16"/>
      <c r="B803" s="16"/>
      <c r="C803" s="16"/>
      <c r="D803" s="16"/>
      <c r="E803" s="16"/>
      <c r="F803" s="16"/>
      <c r="G803" s="16"/>
      <c r="H803" s="16"/>
      <c r="I803" s="16"/>
      <c r="J803" s="16"/>
      <c r="K803" s="16"/>
      <c r="L803" s="16"/>
      <c r="M803" s="16"/>
      <c r="N803" s="16"/>
      <c r="O803" s="16"/>
      <c r="P803" s="16"/>
      <c r="Q803" s="16"/>
      <c r="R803" s="16"/>
      <c r="S803" s="16"/>
      <c r="T803" s="16"/>
      <c r="U803" s="13"/>
      <c r="V803" s="16"/>
      <c r="W803" s="16"/>
      <c r="X803" s="16"/>
      <c r="Y803" s="8"/>
    </row>
    <row r="804" spans="1:25" ht="15.75" customHeight="1">
      <c r="A804" s="16"/>
      <c r="B804" s="16"/>
      <c r="C804" s="16"/>
      <c r="D804" s="16"/>
      <c r="E804" s="16"/>
      <c r="F804" s="16"/>
      <c r="G804" s="16"/>
      <c r="H804" s="16"/>
      <c r="I804" s="16"/>
      <c r="J804" s="16"/>
      <c r="K804" s="16"/>
      <c r="L804" s="16"/>
      <c r="M804" s="16"/>
      <c r="N804" s="16"/>
      <c r="O804" s="16"/>
      <c r="P804" s="16"/>
      <c r="Q804" s="16"/>
      <c r="R804" s="16"/>
      <c r="S804" s="16"/>
      <c r="T804" s="16"/>
      <c r="U804" s="13"/>
      <c r="V804" s="16"/>
      <c r="W804" s="16"/>
      <c r="X804" s="16"/>
      <c r="Y804" s="8"/>
    </row>
    <row r="805" spans="1:25" ht="15.75" customHeight="1">
      <c r="A805" s="16"/>
      <c r="B805" s="16"/>
      <c r="C805" s="16"/>
      <c r="D805" s="16"/>
      <c r="E805" s="16"/>
      <c r="F805" s="16"/>
      <c r="G805" s="16"/>
      <c r="H805" s="16"/>
      <c r="I805" s="16"/>
      <c r="J805" s="16"/>
      <c r="K805" s="16"/>
      <c r="L805" s="16"/>
      <c r="M805" s="16"/>
      <c r="N805" s="16"/>
      <c r="O805" s="16"/>
      <c r="P805" s="16"/>
      <c r="Q805" s="16"/>
      <c r="R805" s="16"/>
      <c r="S805" s="16"/>
      <c r="T805" s="16"/>
      <c r="U805" s="13"/>
      <c r="V805" s="16"/>
      <c r="W805" s="16"/>
      <c r="X805" s="16"/>
      <c r="Y805" s="8"/>
    </row>
    <row r="806" spans="1:25" ht="15.75" customHeight="1">
      <c r="A806" s="16"/>
      <c r="B806" s="16"/>
      <c r="C806" s="16"/>
      <c r="D806" s="16"/>
      <c r="E806" s="16"/>
      <c r="F806" s="16"/>
      <c r="G806" s="16"/>
      <c r="H806" s="16"/>
      <c r="I806" s="16"/>
      <c r="J806" s="16"/>
      <c r="K806" s="16"/>
      <c r="L806" s="16"/>
      <c r="M806" s="16"/>
      <c r="N806" s="16"/>
      <c r="O806" s="16"/>
      <c r="P806" s="16"/>
      <c r="Q806" s="16"/>
      <c r="R806" s="16"/>
      <c r="S806" s="16"/>
      <c r="T806" s="16"/>
      <c r="U806" s="13"/>
      <c r="V806" s="16"/>
      <c r="W806" s="16"/>
      <c r="X806" s="16"/>
      <c r="Y806" s="8"/>
    </row>
    <row r="807" spans="1:25" ht="15.75" customHeight="1">
      <c r="A807" s="16"/>
      <c r="B807" s="16"/>
      <c r="C807" s="16"/>
      <c r="D807" s="16"/>
      <c r="E807" s="16"/>
      <c r="F807" s="16"/>
      <c r="G807" s="16"/>
      <c r="H807" s="16"/>
      <c r="I807" s="16"/>
      <c r="J807" s="16"/>
      <c r="K807" s="16"/>
      <c r="L807" s="16"/>
      <c r="M807" s="16"/>
      <c r="N807" s="16"/>
      <c r="O807" s="16"/>
      <c r="P807" s="16"/>
      <c r="Q807" s="16"/>
      <c r="R807" s="16"/>
      <c r="S807" s="16"/>
      <c r="T807" s="16"/>
      <c r="U807" s="13"/>
      <c r="V807" s="16"/>
      <c r="W807" s="16"/>
      <c r="X807" s="16"/>
      <c r="Y807" s="8"/>
    </row>
    <row r="808" spans="1:25" ht="15.75" customHeight="1">
      <c r="A808" s="16"/>
      <c r="B808" s="16"/>
      <c r="C808" s="16"/>
      <c r="D808" s="16"/>
      <c r="E808" s="16"/>
      <c r="F808" s="16"/>
      <c r="G808" s="16"/>
      <c r="H808" s="16"/>
      <c r="I808" s="16"/>
      <c r="J808" s="16"/>
      <c r="K808" s="16"/>
      <c r="L808" s="16"/>
      <c r="M808" s="16"/>
      <c r="N808" s="16"/>
      <c r="O808" s="16"/>
      <c r="P808" s="16"/>
      <c r="Q808" s="16"/>
      <c r="R808" s="16"/>
      <c r="S808" s="16"/>
      <c r="T808" s="16"/>
      <c r="U808" s="13"/>
      <c r="V808" s="16"/>
      <c r="W808" s="16"/>
      <c r="X808" s="16"/>
      <c r="Y808" s="8"/>
    </row>
    <row r="809" spans="1:25" ht="15.75" customHeight="1">
      <c r="A809" s="16"/>
      <c r="B809" s="16"/>
      <c r="C809" s="16"/>
      <c r="D809" s="16"/>
      <c r="E809" s="16"/>
      <c r="F809" s="16"/>
      <c r="G809" s="16"/>
      <c r="H809" s="16"/>
      <c r="I809" s="16"/>
      <c r="J809" s="16"/>
      <c r="K809" s="16"/>
      <c r="L809" s="16"/>
      <c r="M809" s="16"/>
      <c r="N809" s="16"/>
      <c r="O809" s="16"/>
      <c r="P809" s="16"/>
      <c r="Q809" s="16"/>
      <c r="R809" s="16"/>
      <c r="S809" s="16"/>
      <c r="T809" s="16"/>
      <c r="U809" s="13"/>
      <c r="V809" s="16"/>
      <c r="W809" s="16"/>
      <c r="X809" s="16"/>
      <c r="Y809" s="8"/>
    </row>
    <row r="810" spans="1:25" ht="15.75" customHeight="1">
      <c r="A810" s="16"/>
      <c r="B810" s="16"/>
      <c r="C810" s="16"/>
      <c r="D810" s="16"/>
      <c r="E810" s="16"/>
      <c r="F810" s="16"/>
      <c r="G810" s="16"/>
      <c r="H810" s="16"/>
      <c r="I810" s="16"/>
      <c r="J810" s="16"/>
      <c r="K810" s="16"/>
      <c r="L810" s="16"/>
      <c r="M810" s="16"/>
      <c r="N810" s="16"/>
      <c r="O810" s="16"/>
      <c r="P810" s="16"/>
      <c r="Q810" s="16"/>
      <c r="R810" s="16"/>
      <c r="S810" s="16"/>
      <c r="T810" s="16"/>
      <c r="U810" s="13"/>
      <c r="V810" s="16"/>
      <c r="W810" s="16"/>
      <c r="X810" s="16"/>
      <c r="Y810" s="8"/>
    </row>
    <row r="811" spans="1:25" ht="15.75" customHeight="1">
      <c r="A811" s="16"/>
      <c r="B811" s="16"/>
      <c r="C811" s="16"/>
      <c r="D811" s="16"/>
      <c r="E811" s="16"/>
      <c r="F811" s="16"/>
      <c r="G811" s="16"/>
      <c r="H811" s="16"/>
      <c r="I811" s="16"/>
      <c r="J811" s="16"/>
      <c r="K811" s="16"/>
      <c r="L811" s="16"/>
      <c r="M811" s="16"/>
      <c r="N811" s="16"/>
      <c r="O811" s="16"/>
      <c r="P811" s="16"/>
      <c r="Q811" s="16"/>
      <c r="R811" s="16"/>
      <c r="S811" s="16"/>
      <c r="T811" s="16"/>
      <c r="U811" s="13"/>
      <c r="V811" s="16"/>
      <c r="W811" s="16"/>
      <c r="X811" s="16"/>
      <c r="Y811" s="8"/>
    </row>
    <row r="812" spans="1:25" ht="15.75" customHeight="1">
      <c r="A812" s="16"/>
      <c r="B812" s="16"/>
      <c r="C812" s="16"/>
      <c r="D812" s="16"/>
      <c r="E812" s="16"/>
      <c r="F812" s="16"/>
      <c r="G812" s="16"/>
      <c r="H812" s="16"/>
      <c r="I812" s="16"/>
      <c r="J812" s="16"/>
      <c r="K812" s="16"/>
      <c r="L812" s="16"/>
      <c r="M812" s="16"/>
      <c r="N812" s="16"/>
      <c r="O812" s="16"/>
      <c r="P812" s="16"/>
      <c r="Q812" s="16"/>
      <c r="R812" s="16"/>
      <c r="S812" s="16"/>
      <c r="T812" s="16"/>
      <c r="U812" s="13"/>
      <c r="V812" s="16"/>
      <c r="W812" s="16"/>
      <c r="X812" s="16"/>
      <c r="Y812" s="8"/>
    </row>
    <row r="813" spans="1:25" ht="15.75" customHeight="1">
      <c r="A813" s="16"/>
      <c r="B813" s="16"/>
      <c r="C813" s="16"/>
      <c r="D813" s="16"/>
      <c r="E813" s="16"/>
      <c r="F813" s="16"/>
      <c r="G813" s="16"/>
      <c r="H813" s="16"/>
      <c r="I813" s="16"/>
      <c r="J813" s="16"/>
      <c r="K813" s="16"/>
      <c r="L813" s="16"/>
      <c r="M813" s="16"/>
      <c r="N813" s="16"/>
      <c r="O813" s="16"/>
      <c r="P813" s="16"/>
      <c r="Q813" s="16"/>
      <c r="R813" s="16"/>
      <c r="S813" s="16"/>
      <c r="T813" s="16"/>
      <c r="U813" s="13"/>
      <c r="V813" s="16"/>
      <c r="W813" s="16"/>
      <c r="X813" s="16"/>
      <c r="Y813" s="8"/>
    </row>
    <row r="814" spans="1:25" ht="15.75" customHeight="1">
      <c r="A814" s="16"/>
      <c r="B814" s="16"/>
      <c r="C814" s="16"/>
      <c r="D814" s="16"/>
      <c r="E814" s="16"/>
      <c r="F814" s="16"/>
      <c r="G814" s="16"/>
      <c r="H814" s="16"/>
      <c r="I814" s="16"/>
      <c r="J814" s="16"/>
      <c r="K814" s="16"/>
      <c r="L814" s="16"/>
      <c r="M814" s="16"/>
      <c r="N814" s="16"/>
      <c r="O814" s="16"/>
      <c r="P814" s="16"/>
      <c r="Q814" s="16"/>
      <c r="R814" s="16"/>
      <c r="S814" s="16"/>
      <c r="T814" s="16"/>
      <c r="U814" s="13"/>
      <c r="V814" s="16"/>
      <c r="W814" s="16"/>
      <c r="X814" s="16"/>
      <c r="Y814" s="8"/>
    </row>
    <row r="815" spans="1:25" ht="15.75" customHeight="1">
      <c r="A815" s="16"/>
      <c r="B815" s="16"/>
      <c r="C815" s="16"/>
      <c r="D815" s="16"/>
      <c r="E815" s="16"/>
      <c r="F815" s="16"/>
      <c r="G815" s="16"/>
      <c r="H815" s="16"/>
      <c r="I815" s="16"/>
      <c r="J815" s="16"/>
      <c r="K815" s="16"/>
      <c r="L815" s="16"/>
      <c r="M815" s="16"/>
      <c r="N815" s="16"/>
      <c r="O815" s="16"/>
      <c r="P815" s="16"/>
      <c r="Q815" s="16"/>
      <c r="R815" s="16"/>
      <c r="S815" s="16"/>
      <c r="T815" s="16"/>
      <c r="U815" s="13"/>
      <c r="V815" s="16"/>
      <c r="W815" s="16"/>
      <c r="X815" s="16"/>
      <c r="Y815" s="8"/>
    </row>
    <row r="816" spans="1:25" ht="15.75" customHeight="1">
      <c r="A816" s="16"/>
      <c r="B816" s="16"/>
      <c r="C816" s="16"/>
      <c r="D816" s="16"/>
      <c r="E816" s="16"/>
      <c r="F816" s="16"/>
      <c r="G816" s="16"/>
      <c r="H816" s="16"/>
      <c r="I816" s="16"/>
      <c r="J816" s="16"/>
      <c r="K816" s="16"/>
      <c r="L816" s="16"/>
      <c r="M816" s="16"/>
      <c r="N816" s="16"/>
      <c r="O816" s="16"/>
      <c r="P816" s="16"/>
      <c r="Q816" s="16"/>
      <c r="R816" s="16"/>
      <c r="S816" s="16"/>
      <c r="T816" s="16"/>
      <c r="U816" s="13"/>
      <c r="V816" s="16"/>
      <c r="W816" s="16"/>
      <c r="X816" s="16"/>
      <c r="Y816" s="8"/>
    </row>
    <row r="817" spans="1:25" ht="15.75" customHeight="1">
      <c r="A817" s="16"/>
      <c r="B817" s="16"/>
      <c r="C817" s="16"/>
      <c r="D817" s="16"/>
      <c r="E817" s="16"/>
      <c r="F817" s="16"/>
      <c r="G817" s="16"/>
      <c r="H817" s="16"/>
      <c r="I817" s="16"/>
      <c r="J817" s="16"/>
      <c r="K817" s="16"/>
      <c r="L817" s="16"/>
      <c r="M817" s="16"/>
      <c r="N817" s="16"/>
      <c r="O817" s="16"/>
      <c r="P817" s="16"/>
      <c r="Q817" s="16"/>
      <c r="R817" s="16"/>
      <c r="S817" s="16"/>
      <c r="T817" s="16"/>
      <c r="U817" s="13"/>
      <c r="V817" s="16"/>
      <c r="W817" s="16"/>
      <c r="X817" s="16"/>
      <c r="Y817" s="8"/>
    </row>
    <row r="818" spans="1:25" ht="15.75" customHeight="1">
      <c r="A818" s="16"/>
      <c r="B818" s="16"/>
      <c r="C818" s="16"/>
      <c r="D818" s="16"/>
      <c r="E818" s="16"/>
      <c r="F818" s="16"/>
      <c r="G818" s="16"/>
      <c r="H818" s="16"/>
      <c r="I818" s="16"/>
      <c r="J818" s="16"/>
      <c r="K818" s="16"/>
      <c r="L818" s="16"/>
      <c r="M818" s="16"/>
      <c r="N818" s="16"/>
      <c r="O818" s="16"/>
      <c r="P818" s="16"/>
      <c r="Q818" s="16"/>
      <c r="R818" s="16"/>
      <c r="S818" s="16"/>
      <c r="T818" s="16"/>
      <c r="U818" s="13"/>
      <c r="V818" s="16"/>
      <c r="W818" s="16"/>
      <c r="X818" s="16"/>
      <c r="Y818" s="8"/>
    </row>
    <row r="819" spans="1:25" ht="15.75" customHeight="1">
      <c r="A819" s="16"/>
      <c r="B819" s="16"/>
      <c r="C819" s="16"/>
      <c r="D819" s="16"/>
      <c r="E819" s="16"/>
      <c r="F819" s="16"/>
      <c r="G819" s="16"/>
      <c r="H819" s="16"/>
      <c r="I819" s="16"/>
      <c r="J819" s="16"/>
      <c r="K819" s="16"/>
      <c r="L819" s="16"/>
      <c r="M819" s="16"/>
      <c r="N819" s="16"/>
      <c r="O819" s="16"/>
      <c r="P819" s="16"/>
      <c r="Q819" s="16"/>
      <c r="R819" s="16"/>
      <c r="S819" s="16"/>
      <c r="T819" s="16"/>
      <c r="U819" s="13"/>
      <c r="V819" s="16"/>
      <c r="W819" s="16"/>
      <c r="X819" s="16"/>
      <c r="Y819" s="8"/>
    </row>
    <row r="820" spans="1:25" ht="15.75" customHeight="1">
      <c r="A820" s="16"/>
      <c r="B820" s="16"/>
      <c r="C820" s="16"/>
      <c r="D820" s="16"/>
      <c r="E820" s="16"/>
      <c r="F820" s="16"/>
      <c r="G820" s="16"/>
      <c r="H820" s="16"/>
      <c r="I820" s="16"/>
      <c r="J820" s="16"/>
      <c r="K820" s="16"/>
      <c r="L820" s="16"/>
      <c r="M820" s="16"/>
      <c r="N820" s="16"/>
      <c r="O820" s="16"/>
      <c r="P820" s="16"/>
      <c r="Q820" s="16"/>
      <c r="R820" s="16"/>
      <c r="S820" s="16"/>
      <c r="T820" s="16"/>
      <c r="U820" s="13"/>
      <c r="V820" s="16"/>
      <c r="W820" s="16"/>
      <c r="X820" s="16"/>
      <c r="Y820" s="8"/>
    </row>
    <row r="821" spans="1:25" ht="15.75" customHeight="1">
      <c r="A821" s="16"/>
      <c r="B821" s="16"/>
      <c r="C821" s="16"/>
      <c r="D821" s="16"/>
      <c r="E821" s="16"/>
      <c r="F821" s="16"/>
      <c r="G821" s="16"/>
      <c r="H821" s="16"/>
      <c r="I821" s="16"/>
      <c r="J821" s="16"/>
      <c r="K821" s="16"/>
      <c r="L821" s="16"/>
      <c r="M821" s="16"/>
      <c r="N821" s="16"/>
      <c r="O821" s="16"/>
      <c r="P821" s="16"/>
      <c r="Q821" s="16"/>
      <c r="R821" s="16"/>
      <c r="S821" s="16"/>
      <c r="T821" s="16"/>
      <c r="U821" s="13"/>
      <c r="V821" s="16"/>
      <c r="W821" s="16"/>
      <c r="X821" s="16"/>
      <c r="Y821" s="8"/>
    </row>
    <row r="822" spans="1:25" ht="15.75" customHeight="1">
      <c r="A822" s="16"/>
      <c r="B822" s="16"/>
      <c r="C822" s="16"/>
      <c r="D822" s="16"/>
      <c r="E822" s="16"/>
      <c r="F822" s="16"/>
      <c r="G822" s="16"/>
      <c r="H822" s="16"/>
      <c r="I822" s="16"/>
      <c r="J822" s="16"/>
      <c r="K822" s="16"/>
      <c r="L822" s="16"/>
      <c r="M822" s="16"/>
      <c r="N822" s="16"/>
      <c r="O822" s="16"/>
      <c r="P822" s="16"/>
      <c r="Q822" s="16"/>
      <c r="R822" s="16"/>
      <c r="S822" s="16"/>
      <c r="T822" s="16"/>
      <c r="U822" s="13"/>
      <c r="V822" s="16"/>
      <c r="W822" s="16"/>
      <c r="X822" s="16"/>
      <c r="Y822" s="8"/>
    </row>
    <row r="823" spans="1:25" ht="15.75" customHeight="1">
      <c r="A823" s="16"/>
      <c r="B823" s="16"/>
      <c r="C823" s="16"/>
      <c r="D823" s="16"/>
      <c r="E823" s="16"/>
      <c r="F823" s="16"/>
      <c r="G823" s="16"/>
      <c r="H823" s="16"/>
      <c r="I823" s="16"/>
      <c r="J823" s="16"/>
      <c r="K823" s="16"/>
      <c r="L823" s="16"/>
      <c r="M823" s="16"/>
      <c r="N823" s="16"/>
      <c r="O823" s="16"/>
      <c r="P823" s="16"/>
      <c r="Q823" s="16"/>
      <c r="R823" s="16"/>
      <c r="S823" s="16"/>
      <c r="T823" s="16"/>
      <c r="U823" s="13"/>
      <c r="V823" s="16"/>
      <c r="W823" s="16"/>
      <c r="X823" s="16"/>
      <c r="Y823" s="8"/>
    </row>
    <row r="824" spans="1:25" ht="15.75" customHeight="1">
      <c r="A824" s="16"/>
      <c r="B824" s="16"/>
      <c r="C824" s="16"/>
      <c r="D824" s="16"/>
      <c r="E824" s="16"/>
      <c r="F824" s="16"/>
      <c r="G824" s="16"/>
      <c r="H824" s="16"/>
      <c r="I824" s="16"/>
      <c r="J824" s="16"/>
      <c r="K824" s="16"/>
      <c r="L824" s="16"/>
      <c r="M824" s="16"/>
      <c r="N824" s="16"/>
      <c r="O824" s="16"/>
      <c r="P824" s="16"/>
      <c r="Q824" s="16"/>
      <c r="R824" s="16"/>
      <c r="S824" s="16"/>
      <c r="T824" s="16"/>
      <c r="U824" s="13"/>
      <c r="V824" s="16"/>
      <c r="W824" s="16"/>
      <c r="X824" s="16"/>
      <c r="Y824" s="8"/>
    </row>
    <row r="825" spans="1:25" ht="15.75" customHeight="1">
      <c r="A825" s="16"/>
      <c r="B825" s="16"/>
      <c r="C825" s="16"/>
      <c r="D825" s="16"/>
      <c r="E825" s="16"/>
      <c r="F825" s="16"/>
      <c r="G825" s="16"/>
      <c r="H825" s="16"/>
      <c r="I825" s="16"/>
      <c r="J825" s="16"/>
      <c r="K825" s="16"/>
      <c r="L825" s="16"/>
      <c r="M825" s="16"/>
      <c r="N825" s="16"/>
      <c r="O825" s="16"/>
      <c r="P825" s="16"/>
      <c r="Q825" s="16"/>
      <c r="R825" s="16"/>
      <c r="S825" s="16"/>
      <c r="T825" s="16"/>
      <c r="U825" s="13"/>
      <c r="V825" s="16"/>
      <c r="W825" s="16"/>
      <c r="X825" s="16"/>
      <c r="Y825" s="8"/>
    </row>
    <row r="826" spans="1:25" ht="15.75" customHeight="1">
      <c r="A826" s="16"/>
      <c r="B826" s="16"/>
      <c r="C826" s="16"/>
      <c r="D826" s="16"/>
      <c r="E826" s="16"/>
      <c r="F826" s="16"/>
      <c r="G826" s="16"/>
      <c r="H826" s="16"/>
      <c r="I826" s="16"/>
      <c r="J826" s="16"/>
      <c r="K826" s="16"/>
      <c r="L826" s="16"/>
      <c r="M826" s="16"/>
      <c r="N826" s="16"/>
      <c r="O826" s="16"/>
      <c r="P826" s="16"/>
      <c r="Q826" s="16"/>
      <c r="R826" s="16"/>
      <c r="S826" s="16"/>
      <c r="T826" s="16"/>
      <c r="U826" s="13"/>
      <c r="V826" s="16"/>
      <c r="W826" s="16"/>
      <c r="X826" s="16"/>
      <c r="Y826" s="8"/>
    </row>
    <row r="827" spans="1:25" ht="15.75" customHeight="1">
      <c r="A827" s="16"/>
      <c r="B827" s="16"/>
      <c r="C827" s="16"/>
      <c r="D827" s="16"/>
      <c r="E827" s="16"/>
      <c r="F827" s="16"/>
      <c r="G827" s="16"/>
      <c r="H827" s="16"/>
      <c r="I827" s="16"/>
      <c r="J827" s="16"/>
      <c r="K827" s="16"/>
      <c r="L827" s="16"/>
      <c r="M827" s="16"/>
      <c r="N827" s="16"/>
      <c r="O827" s="16"/>
      <c r="P827" s="16"/>
      <c r="Q827" s="16"/>
      <c r="R827" s="16"/>
      <c r="S827" s="16"/>
      <c r="T827" s="16"/>
      <c r="U827" s="13"/>
      <c r="V827" s="16"/>
      <c r="W827" s="16"/>
      <c r="X827" s="16"/>
      <c r="Y827" s="8"/>
    </row>
    <row r="828" spans="1:25" ht="15.75" customHeight="1">
      <c r="A828" s="16"/>
      <c r="B828" s="16"/>
      <c r="C828" s="16"/>
      <c r="D828" s="16"/>
      <c r="E828" s="16"/>
      <c r="F828" s="16"/>
      <c r="G828" s="16"/>
      <c r="H828" s="16"/>
      <c r="I828" s="16"/>
      <c r="J828" s="16"/>
      <c r="K828" s="16"/>
      <c r="L828" s="16"/>
      <c r="M828" s="16"/>
      <c r="N828" s="16"/>
      <c r="O828" s="16"/>
      <c r="P828" s="16"/>
      <c r="Q828" s="16"/>
      <c r="R828" s="16"/>
      <c r="S828" s="16"/>
      <c r="T828" s="16"/>
      <c r="U828" s="13"/>
      <c r="V828" s="16"/>
      <c r="W828" s="16"/>
      <c r="X828" s="16"/>
      <c r="Y828" s="8"/>
    </row>
    <row r="829" spans="1:25" ht="15.75" customHeight="1">
      <c r="A829" s="16"/>
      <c r="B829" s="16"/>
      <c r="C829" s="16"/>
      <c r="D829" s="16"/>
      <c r="E829" s="16"/>
      <c r="F829" s="16"/>
      <c r="G829" s="16"/>
      <c r="H829" s="16"/>
      <c r="I829" s="16"/>
      <c r="J829" s="16"/>
      <c r="K829" s="16"/>
      <c r="L829" s="16"/>
      <c r="M829" s="16"/>
      <c r="N829" s="16"/>
      <c r="O829" s="16"/>
      <c r="P829" s="16"/>
      <c r="Q829" s="16"/>
      <c r="R829" s="16"/>
      <c r="S829" s="16"/>
      <c r="T829" s="16"/>
      <c r="U829" s="13"/>
      <c r="V829" s="16"/>
      <c r="W829" s="16"/>
      <c r="X829" s="16"/>
      <c r="Y829" s="8"/>
    </row>
    <row r="830" spans="1:25" ht="15.75" customHeight="1">
      <c r="A830" s="16"/>
      <c r="B830" s="16"/>
      <c r="C830" s="16"/>
      <c r="D830" s="16"/>
      <c r="E830" s="16"/>
      <c r="F830" s="16"/>
      <c r="G830" s="16"/>
      <c r="H830" s="16"/>
      <c r="I830" s="16"/>
      <c r="J830" s="16"/>
      <c r="K830" s="16"/>
      <c r="L830" s="16"/>
      <c r="M830" s="16"/>
      <c r="N830" s="16"/>
      <c r="O830" s="16"/>
      <c r="P830" s="16"/>
      <c r="Q830" s="16"/>
      <c r="R830" s="16"/>
      <c r="S830" s="16"/>
      <c r="T830" s="16"/>
      <c r="U830" s="13"/>
      <c r="V830" s="16"/>
      <c r="W830" s="16"/>
      <c r="X830" s="16"/>
      <c r="Y830" s="8"/>
    </row>
    <row r="831" spans="1:25" ht="15.75" customHeight="1">
      <c r="A831" s="16"/>
      <c r="B831" s="16"/>
      <c r="C831" s="16"/>
      <c r="D831" s="16"/>
      <c r="E831" s="16"/>
      <c r="F831" s="16"/>
      <c r="G831" s="16"/>
      <c r="H831" s="16"/>
      <c r="I831" s="16"/>
      <c r="J831" s="16"/>
      <c r="K831" s="16"/>
      <c r="L831" s="16"/>
      <c r="M831" s="16"/>
      <c r="N831" s="16"/>
      <c r="O831" s="16"/>
      <c r="P831" s="16"/>
      <c r="Q831" s="16"/>
      <c r="R831" s="16"/>
      <c r="S831" s="16"/>
      <c r="T831" s="16"/>
      <c r="U831" s="13"/>
      <c r="V831" s="16"/>
      <c r="W831" s="16"/>
      <c r="X831" s="16"/>
      <c r="Y831" s="8"/>
    </row>
    <row r="832" spans="1:25" ht="15.75" customHeight="1">
      <c r="A832" s="16"/>
      <c r="B832" s="16"/>
      <c r="C832" s="16"/>
      <c r="D832" s="16"/>
      <c r="E832" s="16"/>
      <c r="F832" s="16"/>
      <c r="G832" s="16"/>
      <c r="H832" s="16"/>
      <c r="I832" s="16"/>
      <c r="J832" s="16"/>
      <c r="K832" s="16"/>
      <c r="L832" s="16"/>
      <c r="M832" s="16"/>
      <c r="N832" s="16"/>
      <c r="O832" s="16"/>
      <c r="P832" s="16"/>
      <c r="Q832" s="16"/>
      <c r="R832" s="16"/>
      <c r="S832" s="16"/>
      <c r="T832" s="16"/>
      <c r="U832" s="13"/>
      <c r="V832" s="16"/>
      <c r="W832" s="16"/>
      <c r="X832" s="16"/>
      <c r="Y832" s="8"/>
    </row>
    <row r="833" spans="1:25" ht="15.75" customHeight="1">
      <c r="A833" s="16"/>
      <c r="B833" s="16"/>
      <c r="C833" s="16"/>
      <c r="D833" s="16"/>
      <c r="E833" s="16"/>
      <c r="F833" s="16"/>
      <c r="G833" s="16"/>
      <c r="H833" s="16"/>
      <c r="I833" s="16"/>
      <c r="J833" s="16"/>
      <c r="K833" s="16"/>
      <c r="L833" s="16"/>
      <c r="M833" s="16"/>
      <c r="N833" s="16"/>
      <c r="O833" s="16"/>
      <c r="P833" s="16"/>
      <c r="Q833" s="16"/>
      <c r="R833" s="16"/>
      <c r="S833" s="16"/>
      <c r="T833" s="16"/>
      <c r="U833" s="13"/>
      <c r="V833" s="16"/>
      <c r="W833" s="16"/>
      <c r="X833" s="16"/>
      <c r="Y833" s="8"/>
    </row>
    <row r="834" spans="1:25" ht="15.75" customHeight="1">
      <c r="A834" s="16"/>
      <c r="B834" s="16"/>
      <c r="C834" s="16"/>
      <c r="D834" s="16"/>
      <c r="E834" s="16"/>
      <c r="F834" s="16"/>
      <c r="G834" s="16"/>
      <c r="H834" s="16"/>
      <c r="I834" s="16"/>
      <c r="J834" s="16"/>
      <c r="K834" s="16"/>
      <c r="L834" s="16"/>
      <c r="M834" s="16"/>
      <c r="N834" s="16"/>
      <c r="O834" s="16"/>
      <c r="P834" s="16"/>
      <c r="Q834" s="16"/>
      <c r="R834" s="16"/>
      <c r="S834" s="16"/>
      <c r="T834" s="16"/>
      <c r="U834" s="13"/>
      <c r="V834" s="16"/>
      <c r="W834" s="16"/>
      <c r="X834" s="16"/>
      <c r="Y834" s="8"/>
    </row>
    <row r="835" spans="1:25" ht="15.75" customHeight="1">
      <c r="A835" s="16"/>
      <c r="B835" s="16"/>
      <c r="C835" s="16"/>
      <c r="D835" s="16"/>
      <c r="E835" s="16"/>
      <c r="F835" s="16"/>
      <c r="G835" s="16"/>
      <c r="H835" s="16"/>
      <c r="I835" s="16"/>
      <c r="J835" s="16"/>
      <c r="K835" s="16"/>
      <c r="L835" s="16"/>
      <c r="M835" s="16"/>
      <c r="N835" s="16"/>
      <c r="O835" s="16"/>
      <c r="P835" s="16"/>
      <c r="Q835" s="16"/>
      <c r="R835" s="16"/>
      <c r="S835" s="16"/>
      <c r="T835" s="16"/>
      <c r="U835" s="13"/>
      <c r="V835" s="16"/>
      <c r="W835" s="16"/>
      <c r="X835" s="16"/>
      <c r="Y835" s="8"/>
    </row>
    <row r="836" spans="1:25" ht="15.75" customHeight="1">
      <c r="A836" s="16"/>
      <c r="B836" s="16"/>
      <c r="C836" s="16"/>
      <c r="D836" s="16"/>
      <c r="E836" s="16"/>
      <c r="F836" s="16"/>
      <c r="G836" s="16"/>
      <c r="H836" s="16"/>
      <c r="I836" s="16"/>
      <c r="J836" s="16"/>
      <c r="K836" s="16"/>
      <c r="L836" s="16"/>
      <c r="M836" s="16"/>
      <c r="N836" s="16"/>
      <c r="O836" s="16"/>
      <c r="P836" s="16"/>
      <c r="Q836" s="16"/>
      <c r="R836" s="16"/>
      <c r="S836" s="16"/>
      <c r="T836" s="16"/>
      <c r="U836" s="13"/>
      <c r="V836" s="16"/>
      <c r="W836" s="16"/>
      <c r="X836" s="16"/>
      <c r="Y836" s="8"/>
    </row>
    <row r="837" spans="1:25" ht="15.75" customHeight="1">
      <c r="A837" s="16"/>
      <c r="B837" s="16"/>
      <c r="C837" s="16"/>
      <c r="D837" s="16"/>
      <c r="E837" s="16"/>
      <c r="F837" s="16"/>
      <c r="G837" s="16"/>
      <c r="H837" s="16"/>
      <c r="I837" s="16"/>
      <c r="J837" s="16"/>
      <c r="K837" s="16"/>
      <c r="L837" s="16"/>
      <c r="M837" s="16"/>
      <c r="N837" s="16"/>
      <c r="O837" s="16"/>
      <c r="P837" s="16"/>
      <c r="Q837" s="16"/>
      <c r="R837" s="16"/>
      <c r="S837" s="16"/>
      <c r="T837" s="16"/>
      <c r="U837" s="13"/>
      <c r="V837" s="16"/>
      <c r="W837" s="16"/>
      <c r="X837" s="16"/>
      <c r="Y837" s="8"/>
    </row>
    <row r="838" spans="1:25" ht="15.75" customHeight="1">
      <c r="A838" s="16"/>
      <c r="B838" s="16"/>
      <c r="C838" s="16"/>
      <c r="D838" s="16"/>
      <c r="E838" s="16"/>
      <c r="F838" s="16"/>
      <c r="G838" s="16"/>
      <c r="H838" s="16"/>
      <c r="I838" s="16"/>
      <c r="J838" s="16"/>
      <c r="K838" s="16"/>
      <c r="L838" s="16"/>
      <c r="M838" s="16"/>
      <c r="N838" s="16"/>
      <c r="O838" s="16"/>
      <c r="P838" s="16"/>
      <c r="Q838" s="16"/>
      <c r="R838" s="16"/>
      <c r="S838" s="16"/>
      <c r="T838" s="16"/>
      <c r="U838" s="13"/>
      <c r="V838" s="16"/>
      <c r="W838" s="16"/>
      <c r="X838" s="16"/>
      <c r="Y838" s="8"/>
    </row>
    <row r="839" spans="1:25" ht="15.75" customHeight="1">
      <c r="A839" s="16"/>
      <c r="B839" s="16"/>
      <c r="C839" s="16"/>
      <c r="D839" s="16"/>
      <c r="E839" s="16"/>
      <c r="F839" s="16"/>
      <c r="G839" s="16"/>
      <c r="H839" s="16"/>
      <c r="I839" s="16"/>
      <c r="J839" s="16"/>
      <c r="K839" s="16"/>
      <c r="L839" s="16"/>
      <c r="M839" s="16"/>
      <c r="N839" s="16"/>
      <c r="O839" s="16"/>
      <c r="P839" s="16"/>
      <c r="Q839" s="16"/>
      <c r="R839" s="16"/>
      <c r="S839" s="16"/>
      <c r="T839" s="16"/>
      <c r="U839" s="13"/>
      <c r="V839" s="16"/>
      <c r="W839" s="16"/>
      <c r="X839" s="16"/>
      <c r="Y839" s="8"/>
    </row>
    <row r="840" spans="1:25" ht="15.75" customHeight="1">
      <c r="A840" s="16"/>
      <c r="B840" s="16"/>
      <c r="C840" s="16"/>
      <c r="D840" s="16"/>
      <c r="E840" s="16"/>
      <c r="F840" s="16"/>
      <c r="G840" s="16"/>
      <c r="H840" s="16"/>
      <c r="I840" s="16"/>
      <c r="J840" s="16"/>
      <c r="K840" s="16"/>
      <c r="L840" s="16"/>
      <c r="M840" s="16"/>
      <c r="N840" s="16"/>
      <c r="O840" s="16"/>
      <c r="P840" s="16"/>
      <c r="Q840" s="16"/>
      <c r="R840" s="16"/>
      <c r="S840" s="16"/>
      <c r="T840" s="16"/>
      <c r="U840" s="13"/>
      <c r="V840" s="16"/>
      <c r="W840" s="16"/>
      <c r="X840" s="16"/>
      <c r="Y840" s="8"/>
    </row>
    <row r="841" spans="1:25" ht="15.75" customHeight="1">
      <c r="A841" s="16"/>
      <c r="B841" s="16"/>
      <c r="C841" s="16"/>
      <c r="D841" s="16"/>
      <c r="E841" s="16"/>
      <c r="F841" s="16"/>
      <c r="G841" s="16"/>
      <c r="H841" s="16"/>
      <c r="I841" s="16"/>
      <c r="J841" s="16"/>
      <c r="K841" s="16"/>
      <c r="L841" s="16"/>
      <c r="M841" s="16"/>
      <c r="N841" s="16"/>
      <c r="O841" s="16"/>
      <c r="P841" s="16"/>
      <c r="Q841" s="16"/>
      <c r="R841" s="16"/>
      <c r="S841" s="16"/>
      <c r="T841" s="16"/>
      <c r="U841" s="13"/>
      <c r="V841" s="16"/>
      <c r="W841" s="16"/>
      <c r="X841" s="16"/>
      <c r="Y841" s="8"/>
    </row>
    <row r="842" spans="1:25" ht="15.75" customHeight="1">
      <c r="A842" s="16"/>
      <c r="B842" s="16"/>
      <c r="C842" s="16"/>
      <c r="D842" s="16"/>
      <c r="E842" s="16"/>
      <c r="F842" s="16"/>
      <c r="G842" s="16"/>
      <c r="H842" s="16"/>
      <c r="I842" s="16"/>
      <c r="J842" s="16"/>
      <c r="K842" s="16"/>
      <c r="L842" s="16"/>
      <c r="M842" s="16"/>
      <c r="N842" s="16"/>
      <c r="O842" s="16"/>
      <c r="P842" s="16"/>
      <c r="Q842" s="16"/>
      <c r="R842" s="16"/>
      <c r="S842" s="16"/>
      <c r="T842" s="16"/>
      <c r="U842" s="13"/>
      <c r="V842" s="16"/>
      <c r="W842" s="16"/>
      <c r="X842" s="16"/>
      <c r="Y842" s="8"/>
    </row>
    <row r="843" spans="1:25" ht="15.75" customHeight="1">
      <c r="A843" s="16"/>
      <c r="B843" s="16"/>
      <c r="C843" s="16"/>
      <c r="D843" s="16"/>
      <c r="E843" s="16"/>
      <c r="F843" s="16"/>
      <c r="G843" s="16"/>
      <c r="H843" s="16"/>
      <c r="I843" s="16"/>
      <c r="J843" s="16"/>
      <c r="K843" s="16"/>
      <c r="L843" s="16"/>
      <c r="M843" s="16"/>
      <c r="N843" s="16"/>
      <c r="O843" s="16"/>
      <c r="P843" s="16"/>
      <c r="Q843" s="16"/>
      <c r="R843" s="16"/>
      <c r="S843" s="16"/>
      <c r="T843" s="16"/>
      <c r="U843" s="13"/>
      <c r="V843" s="16"/>
      <c r="W843" s="16"/>
      <c r="X843" s="16"/>
      <c r="Y843" s="8"/>
    </row>
    <row r="844" spans="1:25" ht="15.75" customHeight="1">
      <c r="A844" s="16"/>
      <c r="B844" s="16"/>
      <c r="C844" s="16"/>
      <c r="D844" s="16"/>
      <c r="E844" s="16"/>
      <c r="F844" s="16"/>
      <c r="G844" s="16"/>
      <c r="H844" s="16"/>
      <c r="I844" s="16"/>
      <c r="J844" s="16"/>
      <c r="K844" s="16"/>
      <c r="L844" s="16"/>
      <c r="M844" s="16"/>
      <c r="N844" s="16"/>
      <c r="O844" s="16"/>
      <c r="P844" s="16"/>
      <c r="Q844" s="16"/>
      <c r="R844" s="16"/>
      <c r="S844" s="16"/>
      <c r="T844" s="16"/>
      <c r="U844" s="13"/>
      <c r="V844" s="16"/>
      <c r="W844" s="16"/>
      <c r="X844" s="16"/>
      <c r="Y844" s="8"/>
    </row>
    <row r="845" spans="1:25" ht="15.75" customHeight="1">
      <c r="A845" s="16"/>
      <c r="B845" s="16"/>
      <c r="C845" s="16"/>
      <c r="D845" s="16"/>
      <c r="E845" s="16"/>
      <c r="F845" s="16"/>
      <c r="G845" s="16"/>
      <c r="H845" s="16"/>
      <c r="I845" s="16"/>
      <c r="J845" s="16"/>
      <c r="K845" s="16"/>
      <c r="L845" s="16"/>
      <c r="M845" s="16"/>
      <c r="N845" s="16"/>
      <c r="O845" s="16"/>
      <c r="P845" s="16"/>
      <c r="Q845" s="16"/>
      <c r="R845" s="16"/>
      <c r="S845" s="16"/>
      <c r="T845" s="16"/>
      <c r="U845" s="13"/>
      <c r="V845" s="16"/>
      <c r="W845" s="16"/>
      <c r="X845" s="16"/>
      <c r="Y845" s="8"/>
    </row>
    <row r="846" spans="1:25" ht="15.75" customHeight="1">
      <c r="A846" s="16"/>
      <c r="B846" s="16"/>
      <c r="C846" s="16"/>
      <c r="D846" s="16"/>
      <c r="E846" s="16"/>
      <c r="F846" s="16"/>
      <c r="G846" s="16"/>
      <c r="H846" s="16"/>
      <c r="I846" s="16"/>
      <c r="J846" s="16"/>
      <c r="K846" s="16"/>
      <c r="L846" s="16"/>
      <c r="M846" s="16"/>
      <c r="N846" s="16"/>
      <c r="O846" s="16"/>
      <c r="P846" s="16"/>
      <c r="Q846" s="16"/>
      <c r="R846" s="16"/>
      <c r="S846" s="16"/>
      <c r="T846" s="16"/>
      <c r="U846" s="13"/>
      <c r="V846" s="16"/>
      <c r="W846" s="16"/>
      <c r="X846" s="16"/>
      <c r="Y846" s="8"/>
    </row>
    <row r="847" spans="1:25" ht="15.75" customHeight="1">
      <c r="A847" s="16"/>
      <c r="B847" s="16"/>
      <c r="C847" s="16"/>
      <c r="D847" s="16"/>
      <c r="E847" s="16"/>
      <c r="F847" s="16"/>
      <c r="G847" s="16"/>
      <c r="H847" s="16"/>
      <c r="I847" s="16"/>
      <c r="J847" s="16"/>
      <c r="K847" s="16"/>
      <c r="L847" s="16"/>
      <c r="M847" s="16"/>
      <c r="N847" s="16"/>
      <c r="O847" s="16"/>
      <c r="P847" s="16"/>
      <c r="Q847" s="16"/>
      <c r="R847" s="16"/>
      <c r="S847" s="16"/>
      <c r="T847" s="16"/>
      <c r="U847" s="13"/>
      <c r="V847" s="16"/>
      <c r="W847" s="16"/>
      <c r="X847" s="16"/>
      <c r="Y847" s="8"/>
    </row>
    <row r="848" spans="1:25" ht="15.75" customHeight="1">
      <c r="A848" s="16"/>
      <c r="B848" s="16"/>
      <c r="C848" s="16"/>
      <c r="D848" s="16"/>
      <c r="E848" s="16"/>
      <c r="F848" s="16"/>
      <c r="G848" s="16"/>
      <c r="H848" s="16"/>
      <c r="I848" s="16"/>
      <c r="J848" s="16"/>
      <c r="K848" s="16"/>
      <c r="L848" s="16"/>
      <c r="M848" s="16"/>
      <c r="N848" s="16"/>
      <c r="O848" s="16"/>
      <c r="P848" s="16"/>
      <c r="Q848" s="16"/>
      <c r="R848" s="16"/>
      <c r="S848" s="16"/>
      <c r="T848" s="16"/>
      <c r="U848" s="13"/>
      <c r="V848" s="16"/>
      <c r="W848" s="16"/>
      <c r="X848" s="16"/>
      <c r="Y848" s="8"/>
    </row>
    <row r="849" spans="1:25" ht="15.75" customHeight="1">
      <c r="A849" s="16"/>
      <c r="B849" s="16"/>
      <c r="C849" s="16"/>
      <c r="D849" s="16"/>
      <c r="E849" s="16"/>
      <c r="F849" s="16"/>
      <c r="G849" s="16"/>
      <c r="H849" s="16"/>
      <c r="I849" s="16"/>
      <c r="J849" s="16"/>
      <c r="K849" s="16"/>
      <c r="L849" s="16"/>
      <c r="M849" s="16"/>
      <c r="N849" s="16"/>
      <c r="O849" s="16"/>
      <c r="P849" s="16"/>
      <c r="Q849" s="16"/>
      <c r="R849" s="16"/>
      <c r="S849" s="16"/>
      <c r="T849" s="16"/>
      <c r="U849" s="13"/>
      <c r="V849" s="16"/>
      <c r="W849" s="16"/>
      <c r="X849" s="16"/>
      <c r="Y849" s="8"/>
    </row>
    <row r="850" spans="1:25" ht="15.75" customHeight="1">
      <c r="A850" s="16"/>
      <c r="B850" s="16"/>
      <c r="C850" s="16"/>
      <c r="D850" s="16"/>
      <c r="E850" s="16"/>
      <c r="F850" s="16"/>
      <c r="G850" s="16"/>
      <c r="H850" s="16"/>
      <c r="I850" s="16"/>
      <c r="J850" s="16"/>
      <c r="K850" s="16"/>
      <c r="L850" s="16"/>
      <c r="M850" s="16"/>
      <c r="N850" s="16"/>
      <c r="O850" s="16"/>
      <c r="P850" s="16"/>
      <c r="Q850" s="16"/>
      <c r="R850" s="16"/>
      <c r="S850" s="16"/>
      <c r="T850" s="16"/>
      <c r="U850" s="13"/>
      <c r="V850" s="16"/>
      <c r="W850" s="16"/>
      <c r="X850" s="16"/>
      <c r="Y850" s="8"/>
    </row>
    <row r="851" spans="1:25" ht="15.75" customHeight="1">
      <c r="A851" s="16"/>
      <c r="B851" s="16"/>
      <c r="C851" s="16"/>
      <c r="D851" s="16"/>
      <c r="E851" s="16"/>
      <c r="F851" s="16"/>
      <c r="G851" s="16"/>
      <c r="H851" s="16"/>
      <c r="I851" s="16"/>
      <c r="J851" s="16"/>
      <c r="K851" s="16"/>
      <c r="L851" s="16"/>
      <c r="M851" s="16"/>
      <c r="N851" s="16"/>
      <c r="O851" s="16"/>
      <c r="P851" s="16"/>
      <c r="Q851" s="16"/>
      <c r="R851" s="16"/>
      <c r="S851" s="16"/>
      <c r="T851" s="16"/>
      <c r="U851" s="13"/>
      <c r="V851" s="16"/>
      <c r="W851" s="16"/>
      <c r="X851" s="16"/>
      <c r="Y851" s="8"/>
    </row>
    <row r="852" spans="1:25" ht="15.75" customHeight="1">
      <c r="A852" s="16"/>
      <c r="B852" s="16"/>
      <c r="C852" s="16"/>
      <c r="D852" s="16"/>
      <c r="E852" s="16"/>
      <c r="F852" s="16"/>
      <c r="G852" s="16"/>
      <c r="H852" s="16"/>
      <c r="I852" s="16"/>
      <c r="J852" s="16"/>
      <c r="K852" s="16"/>
      <c r="L852" s="16"/>
      <c r="M852" s="16"/>
      <c r="N852" s="16"/>
      <c r="O852" s="16"/>
      <c r="P852" s="16"/>
      <c r="Q852" s="16"/>
      <c r="R852" s="16"/>
      <c r="S852" s="16"/>
      <c r="T852" s="16"/>
      <c r="U852" s="13"/>
      <c r="V852" s="16"/>
      <c r="W852" s="16"/>
      <c r="X852" s="16"/>
      <c r="Y852" s="8"/>
    </row>
    <row r="853" spans="1:25" ht="15.75" customHeight="1">
      <c r="A853" s="16"/>
      <c r="B853" s="16"/>
      <c r="C853" s="16"/>
      <c r="D853" s="16"/>
      <c r="E853" s="16"/>
      <c r="F853" s="16"/>
      <c r="G853" s="16"/>
      <c r="H853" s="16"/>
      <c r="I853" s="16"/>
      <c r="J853" s="16"/>
      <c r="K853" s="16"/>
      <c r="L853" s="16"/>
      <c r="M853" s="16"/>
      <c r="N853" s="16"/>
      <c r="O853" s="16"/>
      <c r="P853" s="16"/>
      <c r="Q853" s="16"/>
      <c r="R853" s="16"/>
      <c r="S853" s="16"/>
      <c r="T853" s="16"/>
      <c r="U853" s="13"/>
      <c r="V853" s="16"/>
      <c r="W853" s="16"/>
      <c r="X853" s="16"/>
      <c r="Y853" s="8"/>
    </row>
    <row r="854" spans="1:25" ht="15.75" customHeight="1">
      <c r="A854" s="16"/>
      <c r="B854" s="16"/>
      <c r="C854" s="16"/>
      <c r="D854" s="16"/>
      <c r="E854" s="16"/>
      <c r="F854" s="16"/>
      <c r="G854" s="16"/>
      <c r="H854" s="16"/>
      <c r="I854" s="16"/>
      <c r="J854" s="16"/>
      <c r="K854" s="16"/>
      <c r="L854" s="16"/>
      <c r="M854" s="16"/>
      <c r="N854" s="16"/>
      <c r="O854" s="16"/>
      <c r="P854" s="16"/>
      <c r="Q854" s="16"/>
      <c r="R854" s="16"/>
      <c r="S854" s="16"/>
      <c r="T854" s="16"/>
      <c r="U854" s="13"/>
      <c r="V854" s="16"/>
      <c r="W854" s="16"/>
      <c r="X854" s="16"/>
      <c r="Y854" s="8"/>
    </row>
    <row r="855" spans="1:25" ht="15.75" customHeight="1">
      <c r="A855" s="16"/>
      <c r="B855" s="16"/>
      <c r="C855" s="16"/>
      <c r="D855" s="16"/>
      <c r="E855" s="16"/>
      <c r="F855" s="16"/>
      <c r="G855" s="16"/>
      <c r="H855" s="16"/>
      <c r="I855" s="16"/>
      <c r="J855" s="16"/>
      <c r="K855" s="16"/>
      <c r="L855" s="16"/>
      <c r="M855" s="16"/>
      <c r="N855" s="16"/>
      <c r="O855" s="16"/>
      <c r="P855" s="16"/>
      <c r="Q855" s="16"/>
      <c r="R855" s="16"/>
      <c r="S855" s="16"/>
      <c r="T855" s="16"/>
      <c r="U855" s="13"/>
      <c r="V855" s="16"/>
      <c r="W855" s="16"/>
      <c r="X855" s="16"/>
      <c r="Y855" s="8"/>
    </row>
    <row r="856" spans="1:25" ht="15.75" customHeight="1">
      <c r="A856" s="16"/>
      <c r="B856" s="16"/>
      <c r="C856" s="16"/>
      <c r="D856" s="16"/>
      <c r="E856" s="16"/>
      <c r="F856" s="16"/>
      <c r="G856" s="16"/>
      <c r="H856" s="16"/>
      <c r="I856" s="16"/>
      <c r="J856" s="16"/>
      <c r="K856" s="16"/>
      <c r="L856" s="16"/>
      <c r="M856" s="16"/>
      <c r="N856" s="16"/>
      <c r="O856" s="16"/>
      <c r="P856" s="16"/>
      <c r="Q856" s="16"/>
      <c r="R856" s="16"/>
      <c r="S856" s="16"/>
      <c r="T856" s="16"/>
      <c r="U856" s="13"/>
      <c r="V856" s="16"/>
      <c r="W856" s="16"/>
      <c r="X856" s="16"/>
      <c r="Y856" s="8"/>
    </row>
    <row r="857" spans="1:25" ht="15.75" customHeight="1">
      <c r="A857" s="16"/>
      <c r="B857" s="16"/>
      <c r="C857" s="16"/>
      <c r="D857" s="16"/>
      <c r="E857" s="16"/>
      <c r="F857" s="16"/>
      <c r="G857" s="16"/>
      <c r="H857" s="16"/>
      <c r="I857" s="16"/>
      <c r="J857" s="16"/>
      <c r="K857" s="16"/>
      <c r="L857" s="16"/>
      <c r="M857" s="16"/>
      <c r="N857" s="16"/>
      <c r="O857" s="16"/>
      <c r="P857" s="16"/>
      <c r="Q857" s="16"/>
      <c r="R857" s="16"/>
      <c r="S857" s="16"/>
      <c r="T857" s="16"/>
      <c r="U857" s="13"/>
      <c r="V857" s="16"/>
      <c r="W857" s="16"/>
      <c r="X857" s="16"/>
      <c r="Y857" s="8"/>
    </row>
    <row r="858" spans="1:25" ht="15.75" customHeight="1">
      <c r="A858" s="16"/>
      <c r="B858" s="16"/>
      <c r="C858" s="16"/>
      <c r="D858" s="16"/>
      <c r="E858" s="16"/>
      <c r="F858" s="16"/>
      <c r="G858" s="16"/>
      <c r="H858" s="16"/>
      <c r="I858" s="16"/>
      <c r="J858" s="16"/>
      <c r="K858" s="16"/>
      <c r="L858" s="16"/>
      <c r="M858" s="16"/>
      <c r="N858" s="16"/>
      <c r="O858" s="16"/>
      <c r="P858" s="16"/>
      <c r="Q858" s="16"/>
      <c r="R858" s="16"/>
      <c r="S858" s="16"/>
      <c r="T858" s="16"/>
      <c r="U858" s="13"/>
      <c r="V858" s="16"/>
      <c r="W858" s="16"/>
      <c r="X858" s="16"/>
      <c r="Y858" s="8"/>
    </row>
    <row r="859" spans="1:25" ht="15.75" customHeight="1">
      <c r="A859" s="16"/>
      <c r="B859" s="16"/>
      <c r="C859" s="16"/>
      <c r="D859" s="16"/>
      <c r="E859" s="16"/>
      <c r="F859" s="16"/>
      <c r="G859" s="16"/>
      <c r="H859" s="16"/>
      <c r="I859" s="16"/>
      <c r="J859" s="16"/>
      <c r="K859" s="16"/>
      <c r="L859" s="16"/>
      <c r="M859" s="16"/>
      <c r="N859" s="16"/>
      <c r="O859" s="16"/>
      <c r="P859" s="16"/>
      <c r="Q859" s="16"/>
      <c r="R859" s="16"/>
      <c r="S859" s="16"/>
      <c r="T859" s="16"/>
      <c r="U859" s="13"/>
      <c r="V859" s="16"/>
      <c r="W859" s="16"/>
      <c r="X859" s="16"/>
      <c r="Y859" s="8"/>
    </row>
    <row r="860" spans="1:25" ht="15.75" customHeight="1">
      <c r="A860" s="16"/>
      <c r="B860" s="16"/>
      <c r="C860" s="16"/>
      <c r="D860" s="16"/>
      <c r="E860" s="16"/>
      <c r="F860" s="16"/>
      <c r="G860" s="16"/>
      <c r="H860" s="16"/>
      <c r="I860" s="16"/>
      <c r="J860" s="16"/>
      <c r="K860" s="16"/>
      <c r="L860" s="16"/>
      <c r="M860" s="16"/>
      <c r="N860" s="16"/>
      <c r="O860" s="16"/>
      <c r="P860" s="16"/>
      <c r="Q860" s="16"/>
      <c r="R860" s="16"/>
      <c r="S860" s="16"/>
      <c r="T860" s="16"/>
      <c r="U860" s="13"/>
      <c r="V860" s="16"/>
      <c r="W860" s="16"/>
      <c r="X860" s="16"/>
      <c r="Y860" s="8"/>
    </row>
    <row r="861" spans="1:25" ht="15.75" customHeight="1">
      <c r="A861" s="16"/>
      <c r="B861" s="16"/>
      <c r="C861" s="16"/>
      <c r="D861" s="16"/>
      <c r="E861" s="16"/>
      <c r="F861" s="16"/>
      <c r="G861" s="16"/>
      <c r="H861" s="16"/>
      <c r="I861" s="16"/>
      <c r="J861" s="16"/>
      <c r="K861" s="16"/>
      <c r="L861" s="16"/>
      <c r="M861" s="16"/>
      <c r="N861" s="16"/>
      <c r="O861" s="16"/>
      <c r="P861" s="16"/>
      <c r="Q861" s="16"/>
      <c r="R861" s="16"/>
      <c r="S861" s="16"/>
      <c r="T861" s="16"/>
      <c r="U861" s="13"/>
      <c r="V861" s="16"/>
      <c r="W861" s="16"/>
      <c r="X861" s="16"/>
      <c r="Y861" s="8"/>
    </row>
    <row r="862" spans="1:25" ht="15.75" customHeight="1">
      <c r="A862" s="16"/>
      <c r="B862" s="16"/>
      <c r="C862" s="16"/>
      <c r="D862" s="16"/>
      <c r="E862" s="16"/>
      <c r="F862" s="16"/>
      <c r="G862" s="16"/>
      <c r="H862" s="16"/>
      <c r="I862" s="16"/>
      <c r="J862" s="16"/>
      <c r="K862" s="16"/>
      <c r="L862" s="16"/>
      <c r="M862" s="16"/>
      <c r="N862" s="16"/>
      <c r="O862" s="16"/>
      <c r="P862" s="16"/>
      <c r="Q862" s="16"/>
      <c r="R862" s="16"/>
      <c r="S862" s="16"/>
      <c r="T862" s="16"/>
      <c r="U862" s="13"/>
      <c r="V862" s="16"/>
      <c r="W862" s="16"/>
      <c r="X862" s="16"/>
      <c r="Y862" s="8"/>
    </row>
    <row r="863" spans="1:25" ht="15.75" customHeight="1">
      <c r="A863" s="16"/>
      <c r="B863" s="16"/>
      <c r="C863" s="16"/>
      <c r="D863" s="16"/>
      <c r="E863" s="16"/>
      <c r="F863" s="16"/>
      <c r="G863" s="16"/>
      <c r="H863" s="16"/>
      <c r="I863" s="16"/>
      <c r="J863" s="16"/>
      <c r="K863" s="16"/>
      <c r="L863" s="16"/>
      <c r="M863" s="16"/>
      <c r="N863" s="16"/>
      <c r="O863" s="16"/>
      <c r="P863" s="16"/>
      <c r="Q863" s="16"/>
      <c r="R863" s="16"/>
      <c r="S863" s="16"/>
      <c r="T863" s="16"/>
      <c r="U863" s="13"/>
      <c r="V863" s="16"/>
      <c r="W863" s="16"/>
      <c r="X863" s="16"/>
      <c r="Y863" s="8"/>
    </row>
    <row r="864" spans="1:25" ht="15.75" customHeight="1">
      <c r="A864" s="16"/>
      <c r="B864" s="16"/>
      <c r="C864" s="16"/>
      <c r="D864" s="16"/>
      <c r="E864" s="16"/>
      <c r="F864" s="16"/>
      <c r="G864" s="16"/>
      <c r="H864" s="16"/>
      <c r="I864" s="16"/>
      <c r="J864" s="16"/>
      <c r="K864" s="16"/>
      <c r="L864" s="16"/>
      <c r="M864" s="16"/>
      <c r="N864" s="16"/>
      <c r="O864" s="16"/>
      <c r="P864" s="16"/>
      <c r="Q864" s="16"/>
      <c r="R864" s="16"/>
      <c r="S864" s="16"/>
      <c r="T864" s="16"/>
      <c r="U864" s="13"/>
      <c r="V864" s="16"/>
      <c r="W864" s="16"/>
      <c r="X864" s="16"/>
      <c r="Y864" s="8"/>
    </row>
    <row r="865" spans="1:25" ht="15.75" customHeight="1">
      <c r="A865" s="16"/>
      <c r="B865" s="16"/>
      <c r="C865" s="16"/>
      <c r="D865" s="16"/>
      <c r="E865" s="16"/>
      <c r="F865" s="16"/>
      <c r="G865" s="16"/>
      <c r="H865" s="16"/>
      <c r="I865" s="16"/>
      <c r="J865" s="16"/>
      <c r="K865" s="16"/>
      <c r="L865" s="16"/>
      <c r="M865" s="16"/>
      <c r="N865" s="16"/>
      <c r="O865" s="16"/>
      <c r="P865" s="16"/>
      <c r="Q865" s="16"/>
      <c r="R865" s="16"/>
      <c r="S865" s="16"/>
      <c r="T865" s="16"/>
      <c r="U865" s="13"/>
      <c r="V865" s="16"/>
      <c r="W865" s="16"/>
      <c r="X865" s="16"/>
      <c r="Y865" s="8"/>
    </row>
    <row r="866" spans="1:25" ht="15.75" customHeight="1">
      <c r="A866" s="16"/>
      <c r="B866" s="16"/>
      <c r="C866" s="16"/>
      <c r="D866" s="16"/>
      <c r="E866" s="16"/>
      <c r="F866" s="16"/>
      <c r="G866" s="16"/>
      <c r="H866" s="16"/>
      <c r="I866" s="16"/>
      <c r="J866" s="16"/>
      <c r="K866" s="16"/>
      <c r="L866" s="16"/>
      <c r="M866" s="16"/>
      <c r="N866" s="16"/>
      <c r="O866" s="16"/>
      <c r="P866" s="16"/>
      <c r="Q866" s="16"/>
      <c r="R866" s="16"/>
      <c r="S866" s="16"/>
      <c r="T866" s="16"/>
      <c r="U866" s="13"/>
      <c r="V866" s="16"/>
      <c r="W866" s="16"/>
      <c r="X866" s="16"/>
      <c r="Y866" s="8"/>
    </row>
    <row r="867" spans="1:25" ht="15.75" customHeight="1">
      <c r="A867" s="16"/>
      <c r="B867" s="16"/>
      <c r="C867" s="16"/>
      <c r="D867" s="16"/>
      <c r="E867" s="16"/>
      <c r="F867" s="16"/>
      <c r="G867" s="16"/>
      <c r="H867" s="16"/>
      <c r="I867" s="16"/>
      <c r="J867" s="16"/>
      <c r="K867" s="16"/>
      <c r="L867" s="16"/>
      <c r="M867" s="16"/>
      <c r="N867" s="16"/>
      <c r="O867" s="16"/>
      <c r="P867" s="16"/>
      <c r="Q867" s="16"/>
      <c r="R867" s="16"/>
      <c r="S867" s="16"/>
      <c r="T867" s="16"/>
      <c r="U867" s="13"/>
      <c r="V867" s="16"/>
      <c r="W867" s="16"/>
      <c r="X867" s="16"/>
      <c r="Y867" s="8"/>
    </row>
    <row r="868" spans="1:25" ht="15.75" customHeight="1">
      <c r="A868" s="16"/>
      <c r="B868" s="16"/>
      <c r="C868" s="16"/>
      <c r="D868" s="16"/>
      <c r="E868" s="16"/>
      <c r="F868" s="16"/>
      <c r="G868" s="16"/>
      <c r="H868" s="16"/>
      <c r="I868" s="16"/>
      <c r="J868" s="16"/>
      <c r="K868" s="16"/>
      <c r="L868" s="16"/>
      <c r="M868" s="16"/>
      <c r="N868" s="16"/>
      <c r="O868" s="16"/>
      <c r="P868" s="16"/>
      <c r="Q868" s="16"/>
      <c r="R868" s="16"/>
      <c r="S868" s="16"/>
      <c r="T868" s="16"/>
      <c r="U868" s="13"/>
      <c r="V868" s="16"/>
      <c r="W868" s="16"/>
      <c r="X868" s="16"/>
      <c r="Y868" s="8"/>
    </row>
    <row r="869" spans="1:25" ht="15.75" customHeight="1">
      <c r="A869" s="16"/>
      <c r="B869" s="16"/>
      <c r="C869" s="16"/>
      <c r="D869" s="16"/>
      <c r="E869" s="16"/>
      <c r="F869" s="16"/>
      <c r="G869" s="16"/>
      <c r="H869" s="16"/>
      <c r="I869" s="16"/>
      <c r="J869" s="16"/>
      <c r="K869" s="16"/>
      <c r="L869" s="16"/>
      <c r="M869" s="16"/>
      <c r="N869" s="16"/>
      <c r="O869" s="16"/>
      <c r="P869" s="16"/>
      <c r="Q869" s="16"/>
      <c r="R869" s="16"/>
      <c r="S869" s="16"/>
      <c r="T869" s="16"/>
      <c r="U869" s="13"/>
      <c r="V869" s="16"/>
      <c r="W869" s="16"/>
      <c r="X869" s="16"/>
      <c r="Y869" s="8"/>
    </row>
    <row r="870" spans="1:25" ht="15.75" customHeight="1">
      <c r="A870" s="16"/>
      <c r="B870" s="16"/>
      <c r="C870" s="16"/>
      <c r="D870" s="16"/>
      <c r="E870" s="16"/>
      <c r="F870" s="16"/>
      <c r="G870" s="16"/>
      <c r="H870" s="16"/>
      <c r="I870" s="16"/>
      <c r="J870" s="16"/>
      <c r="K870" s="16"/>
      <c r="L870" s="16"/>
      <c r="M870" s="16"/>
      <c r="N870" s="16"/>
      <c r="O870" s="16"/>
      <c r="P870" s="16"/>
      <c r="Q870" s="16"/>
      <c r="R870" s="16"/>
      <c r="S870" s="16"/>
      <c r="T870" s="16"/>
      <c r="U870" s="13"/>
      <c r="V870" s="16"/>
      <c r="W870" s="16"/>
      <c r="X870" s="16"/>
      <c r="Y870" s="8"/>
    </row>
    <row r="871" spans="1:25" ht="15.75" customHeight="1">
      <c r="A871" s="16"/>
      <c r="B871" s="16"/>
      <c r="C871" s="16"/>
      <c r="D871" s="16"/>
      <c r="E871" s="16"/>
      <c r="F871" s="16"/>
      <c r="G871" s="16"/>
      <c r="H871" s="16"/>
      <c r="I871" s="16"/>
      <c r="J871" s="16"/>
      <c r="K871" s="16"/>
      <c r="L871" s="16"/>
      <c r="M871" s="16"/>
      <c r="N871" s="16"/>
      <c r="O871" s="16"/>
      <c r="P871" s="16"/>
      <c r="Q871" s="16"/>
      <c r="R871" s="16"/>
      <c r="S871" s="16"/>
      <c r="T871" s="16"/>
      <c r="U871" s="13"/>
      <c r="V871" s="16"/>
      <c r="W871" s="16"/>
      <c r="X871" s="16"/>
      <c r="Y871" s="8"/>
    </row>
    <row r="872" spans="1:25" ht="15.75" customHeight="1">
      <c r="A872" s="16"/>
      <c r="B872" s="16"/>
      <c r="C872" s="16"/>
      <c r="D872" s="16"/>
      <c r="E872" s="16"/>
      <c r="F872" s="16"/>
      <c r="G872" s="16"/>
      <c r="H872" s="16"/>
      <c r="I872" s="16"/>
      <c r="J872" s="16"/>
      <c r="K872" s="16"/>
      <c r="L872" s="16"/>
      <c r="M872" s="16"/>
      <c r="N872" s="16"/>
      <c r="O872" s="16"/>
      <c r="P872" s="16"/>
      <c r="Q872" s="16"/>
      <c r="R872" s="16"/>
      <c r="S872" s="16"/>
      <c r="T872" s="16"/>
      <c r="U872" s="13"/>
      <c r="V872" s="16"/>
      <c r="W872" s="16"/>
      <c r="X872" s="16"/>
      <c r="Y872" s="8"/>
    </row>
    <row r="873" spans="1:25" ht="15.75" customHeight="1">
      <c r="A873" s="16"/>
      <c r="B873" s="16"/>
      <c r="C873" s="16"/>
      <c r="D873" s="16"/>
      <c r="E873" s="16"/>
      <c r="F873" s="16"/>
      <c r="G873" s="16"/>
      <c r="H873" s="16"/>
      <c r="I873" s="16"/>
      <c r="J873" s="16"/>
      <c r="K873" s="16"/>
      <c r="L873" s="16"/>
      <c r="M873" s="16"/>
      <c r="N873" s="16"/>
      <c r="O873" s="16"/>
      <c r="P873" s="16"/>
      <c r="Q873" s="16"/>
      <c r="R873" s="16"/>
      <c r="S873" s="16"/>
      <c r="T873" s="16"/>
      <c r="U873" s="13"/>
      <c r="V873" s="16"/>
      <c r="W873" s="16"/>
      <c r="X873" s="16"/>
      <c r="Y873" s="8"/>
    </row>
    <row r="874" spans="1:25" ht="15.75" customHeight="1">
      <c r="A874" s="16"/>
      <c r="B874" s="16"/>
      <c r="C874" s="16"/>
      <c r="D874" s="16"/>
      <c r="E874" s="16"/>
      <c r="F874" s="16"/>
      <c r="G874" s="16"/>
      <c r="H874" s="16"/>
      <c r="I874" s="16"/>
      <c r="J874" s="16"/>
      <c r="K874" s="16"/>
      <c r="L874" s="16"/>
      <c r="M874" s="16"/>
      <c r="N874" s="16"/>
      <c r="O874" s="16"/>
      <c r="P874" s="16"/>
      <c r="Q874" s="16"/>
      <c r="R874" s="16"/>
      <c r="S874" s="16"/>
      <c r="T874" s="16"/>
      <c r="U874" s="13"/>
      <c r="V874" s="16"/>
      <c r="W874" s="16"/>
      <c r="X874" s="16"/>
      <c r="Y874" s="8"/>
    </row>
    <row r="875" spans="1:25" ht="15.75" customHeight="1">
      <c r="A875" s="16"/>
      <c r="B875" s="16"/>
      <c r="C875" s="16"/>
      <c r="D875" s="16"/>
      <c r="E875" s="16"/>
      <c r="F875" s="16"/>
      <c r="G875" s="16"/>
      <c r="H875" s="16"/>
      <c r="I875" s="16"/>
      <c r="J875" s="16"/>
      <c r="K875" s="16"/>
      <c r="L875" s="16"/>
      <c r="M875" s="16"/>
      <c r="N875" s="16"/>
      <c r="O875" s="16"/>
      <c r="P875" s="16"/>
      <c r="Q875" s="16"/>
      <c r="R875" s="16"/>
      <c r="S875" s="16"/>
      <c r="T875" s="16"/>
      <c r="U875" s="13"/>
      <c r="V875" s="16"/>
      <c r="W875" s="16"/>
      <c r="X875" s="16"/>
      <c r="Y875" s="8"/>
    </row>
    <row r="876" spans="1:25" ht="15.75" customHeight="1">
      <c r="A876" s="16"/>
      <c r="B876" s="16"/>
      <c r="C876" s="16"/>
      <c r="D876" s="16"/>
      <c r="E876" s="16"/>
      <c r="F876" s="16"/>
      <c r="G876" s="16"/>
      <c r="H876" s="16"/>
      <c r="I876" s="16"/>
      <c r="J876" s="16"/>
      <c r="K876" s="16"/>
      <c r="L876" s="16"/>
      <c r="M876" s="16"/>
      <c r="N876" s="16"/>
      <c r="O876" s="16"/>
      <c r="P876" s="16"/>
      <c r="Q876" s="16"/>
      <c r="R876" s="16"/>
      <c r="S876" s="16"/>
      <c r="T876" s="16"/>
      <c r="U876" s="13"/>
      <c r="V876" s="16"/>
      <c r="W876" s="16"/>
      <c r="X876" s="16"/>
      <c r="Y876" s="8"/>
    </row>
    <row r="877" spans="1:25" ht="15.75" customHeight="1">
      <c r="A877" s="16"/>
      <c r="B877" s="16"/>
      <c r="C877" s="16"/>
      <c r="D877" s="16"/>
      <c r="E877" s="16"/>
      <c r="F877" s="16"/>
      <c r="G877" s="16"/>
      <c r="H877" s="16"/>
      <c r="I877" s="16"/>
      <c r="J877" s="16"/>
      <c r="K877" s="16"/>
      <c r="L877" s="16"/>
      <c r="M877" s="16"/>
      <c r="N877" s="16"/>
      <c r="O877" s="16"/>
      <c r="P877" s="16"/>
      <c r="Q877" s="16"/>
      <c r="R877" s="16"/>
      <c r="S877" s="16"/>
      <c r="T877" s="16"/>
      <c r="U877" s="13"/>
      <c r="V877" s="16"/>
      <c r="W877" s="16"/>
      <c r="X877" s="16"/>
      <c r="Y877" s="8"/>
    </row>
    <row r="878" spans="1:25" ht="15.75" customHeight="1">
      <c r="A878" s="16"/>
      <c r="B878" s="16"/>
      <c r="C878" s="16"/>
      <c r="D878" s="16"/>
      <c r="E878" s="16"/>
      <c r="F878" s="16"/>
      <c r="G878" s="16"/>
      <c r="H878" s="16"/>
      <c r="I878" s="16"/>
      <c r="J878" s="16"/>
      <c r="K878" s="16"/>
      <c r="L878" s="16"/>
      <c r="M878" s="16"/>
      <c r="N878" s="16"/>
      <c r="O878" s="16"/>
      <c r="P878" s="16"/>
      <c r="Q878" s="16"/>
      <c r="R878" s="16"/>
      <c r="S878" s="16"/>
      <c r="T878" s="16"/>
      <c r="U878" s="13"/>
      <c r="V878" s="16"/>
      <c r="W878" s="16"/>
      <c r="X878" s="16"/>
      <c r="Y878" s="8"/>
    </row>
    <row r="879" spans="1:25" ht="15.75" customHeight="1">
      <c r="A879" s="16"/>
      <c r="B879" s="16"/>
      <c r="C879" s="16"/>
      <c r="D879" s="16"/>
      <c r="E879" s="16"/>
      <c r="F879" s="16"/>
      <c r="G879" s="16"/>
      <c r="H879" s="16"/>
      <c r="I879" s="16"/>
      <c r="J879" s="16"/>
      <c r="K879" s="16"/>
      <c r="L879" s="16"/>
      <c r="M879" s="16"/>
      <c r="N879" s="16"/>
      <c r="O879" s="16"/>
      <c r="P879" s="16"/>
      <c r="Q879" s="16"/>
      <c r="R879" s="16"/>
      <c r="S879" s="16"/>
      <c r="T879" s="16"/>
      <c r="U879" s="13"/>
      <c r="V879" s="16"/>
      <c r="W879" s="16"/>
      <c r="X879" s="16"/>
      <c r="Y879" s="8"/>
    </row>
    <row r="880" spans="1:25" ht="15.75" customHeight="1">
      <c r="A880" s="16"/>
      <c r="B880" s="16"/>
      <c r="C880" s="16"/>
      <c r="D880" s="16"/>
      <c r="E880" s="16"/>
      <c r="F880" s="16"/>
      <c r="G880" s="16"/>
      <c r="H880" s="16"/>
      <c r="I880" s="16"/>
      <c r="J880" s="16"/>
      <c r="K880" s="16"/>
      <c r="L880" s="16"/>
      <c r="M880" s="16"/>
      <c r="N880" s="16"/>
      <c r="O880" s="16"/>
      <c r="P880" s="16"/>
      <c r="Q880" s="16"/>
      <c r="R880" s="16"/>
      <c r="S880" s="16"/>
      <c r="T880" s="16"/>
      <c r="U880" s="13"/>
      <c r="V880" s="16"/>
      <c r="W880" s="16"/>
      <c r="X880" s="16"/>
      <c r="Y880" s="8"/>
    </row>
    <row r="881" spans="1:25" ht="15.75" customHeight="1">
      <c r="A881" s="16"/>
      <c r="B881" s="16"/>
      <c r="C881" s="16"/>
      <c r="D881" s="16"/>
      <c r="E881" s="16"/>
      <c r="F881" s="16"/>
      <c r="G881" s="16"/>
      <c r="H881" s="16"/>
      <c r="I881" s="16"/>
      <c r="J881" s="16"/>
      <c r="K881" s="16"/>
      <c r="L881" s="16"/>
      <c r="M881" s="16"/>
      <c r="N881" s="16"/>
      <c r="O881" s="16"/>
      <c r="P881" s="16"/>
      <c r="Q881" s="16"/>
      <c r="R881" s="16"/>
      <c r="S881" s="16"/>
      <c r="T881" s="16"/>
      <c r="U881" s="13"/>
      <c r="V881" s="16"/>
      <c r="W881" s="16"/>
      <c r="X881" s="16"/>
      <c r="Y881" s="8"/>
    </row>
    <row r="882" spans="1:25" ht="15.75" customHeight="1">
      <c r="A882" s="16"/>
      <c r="B882" s="16"/>
      <c r="C882" s="16"/>
      <c r="D882" s="16"/>
      <c r="E882" s="16"/>
      <c r="F882" s="16"/>
      <c r="G882" s="16"/>
      <c r="H882" s="16"/>
      <c r="I882" s="16"/>
      <c r="J882" s="16"/>
      <c r="K882" s="16"/>
      <c r="L882" s="16"/>
      <c r="M882" s="16"/>
      <c r="N882" s="16"/>
      <c r="O882" s="16"/>
      <c r="P882" s="16"/>
      <c r="Q882" s="16"/>
      <c r="R882" s="16"/>
      <c r="S882" s="16"/>
      <c r="T882" s="16"/>
      <c r="U882" s="13"/>
      <c r="V882" s="16"/>
      <c r="W882" s="16"/>
      <c r="X882" s="16"/>
      <c r="Y882" s="8"/>
    </row>
    <row r="883" spans="1:25" ht="15.75" customHeight="1">
      <c r="A883" s="16"/>
      <c r="B883" s="16"/>
      <c r="C883" s="16"/>
      <c r="D883" s="16"/>
      <c r="E883" s="16"/>
      <c r="F883" s="16"/>
      <c r="G883" s="16"/>
      <c r="H883" s="16"/>
      <c r="I883" s="16"/>
      <c r="J883" s="16"/>
      <c r="K883" s="16"/>
      <c r="L883" s="16"/>
      <c r="M883" s="16"/>
      <c r="N883" s="16"/>
      <c r="O883" s="16"/>
      <c r="P883" s="16"/>
      <c r="Q883" s="16"/>
      <c r="R883" s="16"/>
      <c r="S883" s="16"/>
      <c r="T883" s="16"/>
      <c r="U883" s="13"/>
      <c r="V883" s="16"/>
      <c r="W883" s="16"/>
      <c r="X883" s="16"/>
      <c r="Y883" s="8"/>
    </row>
    <row r="884" spans="1:25" ht="15.75" customHeight="1">
      <c r="A884" s="16"/>
      <c r="B884" s="16"/>
      <c r="C884" s="16"/>
      <c r="D884" s="16"/>
      <c r="E884" s="16"/>
      <c r="F884" s="16"/>
      <c r="G884" s="16"/>
      <c r="H884" s="16"/>
      <c r="I884" s="16"/>
      <c r="J884" s="16"/>
      <c r="K884" s="16"/>
      <c r="L884" s="16"/>
      <c r="M884" s="16"/>
      <c r="N884" s="16"/>
      <c r="O884" s="16"/>
      <c r="P884" s="16"/>
      <c r="Q884" s="16"/>
      <c r="R884" s="16"/>
      <c r="S884" s="16"/>
      <c r="T884" s="16"/>
      <c r="U884" s="13"/>
      <c r="V884" s="16"/>
      <c r="W884" s="16"/>
      <c r="X884" s="16"/>
      <c r="Y884" s="8"/>
    </row>
    <row r="885" spans="1:25" ht="15.75" customHeight="1">
      <c r="A885" s="16"/>
      <c r="B885" s="16"/>
      <c r="C885" s="16"/>
      <c r="D885" s="16"/>
      <c r="E885" s="16"/>
      <c r="F885" s="16"/>
      <c r="G885" s="16"/>
      <c r="H885" s="16"/>
      <c r="I885" s="16"/>
      <c r="J885" s="16"/>
      <c r="K885" s="16"/>
      <c r="L885" s="16"/>
      <c r="M885" s="16"/>
      <c r="N885" s="16"/>
      <c r="O885" s="16"/>
      <c r="P885" s="16"/>
      <c r="Q885" s="16"/>
      <c r="R885" s="16"/>
      <c r="S885" s="16"/>
      <c r="T885" s="16"/>
      <c r="U885" s="13"/>
      <c r="V885" s="16"/>
      <c r="W885" s="16"/>
      <c r="X885" s="16"/>
      <c r="Y885" s="8"/>
    </row>
    <row r="886" spans="1:25" ht="15.75" customHeight="1">
      <c r="A886" s="16"/>
      <c r="B886" s="16"/>
      <c r="C886" s="16"/>
      <c r="D886" s="16"/>
      <c r="E886" s="16"/>
      <c r="F886" s="16"/>
      <c r="G886" s="16"/>
      <c r="H886" s="16"/>
      <c r="I886" s="16"/>
      <c r="J886" s="16"/>
      <c r="K886" s="16"/>
      <c r="L886" s="16"/>
      <c r="M886" s="16"/>
      <c r="N886" s="16"/>
      <c r="O886" s="16"/>
      <c r="P886" s="16"/>
      <c r="Q886" s="16"/>
      <c r="R886" s="16"/>
      <c r="S886" s="16"/>
      <c r="T886" s="16"/>
      <c r="U886" s="13"/>
      <c r="V886" s="16"/>
      <c r="W886" s="16"/>
      <c r="X886" s="16"/>
      <c r="Y886" s="8"/>
    </row>
    <row r="887" spans="1:25" ht="15.75" customHeight="1">
      <c r="A887" s="16"/>
      <c r="B887" s="16"/>
      <c r="C887" s="16"/>
      <c r="D887" s="16"/>
      <c r="E887" s="16"/>
      <c r="F887" s="16"/>
      <c r="G887" s="16"/>
      <c r="H887" s="16"/>
      <c r="I887" s="16"/>
      <c r="J887" s="16"/>
      <c r="K887" s="16"/>
      <c r="L887" s="16"/>
      <c r="M887" s="16"/>
      <c r="N887" s="16"/>
      <c r="O887" s="16"/>
      <c r="P887" s="16"/>
      <c r="Q887" s="16"/>
      <c r="R887" s="16"/>
      <c r="S887" s="16"/>
      <c r="T887" s="16"/>
      <c r="U887" s="13"/>
      <c r="V887" s="16"/>
      <c r="W887" s="16"/>
      <c r="X887" s="16"/>
      <c r="Y887" s="8"/>
    </row>
    <row r="888" spans="1:25" ht="15.75" customHeight="1">
      <c r="A888" s="16"/>
      <c r="B888" s="16"/>
      <c r="C888" s="16"/>
      <c r="D888" s="16"/>
      <c r="E888" s="16"/>
      <c r="F888" s="16"/>
      <c r="G888" s="16"/>
      <c r="H888" s="16"/>
      <c r="I888" s="16"/>
      <c r="J888" s="16"/>
      <c r="K888" s="16"/>
      <c r="L888" s="16"/>
      <c r="M888" s="16"/>
      <c r="N888" s="16"/>
      <c r="O888" s="16"/>
      <c r="P888" s="16"/>
      <c r="Q888" s="16"/>
      <c r="R888" s="16"/>
      <c r="S888" s="16"/>
      <c r="T888" s="16"/>
      <c r="U888" s="13"/>
      <c r="V888" s="16"/>
      <c r="W888" s="16"/>
      <c r="X888" s="16"/>
      <c r="Y888" s="8"/>
    </row>
    <row r="889" spans="1:25" ht="15.75" customHeight="1">
      <c r="A889" s="16"/>
      <c r="B889" s="16"/>
      <c r="C889" s="16"/>
      <c r="D889" s="16"/>
      <c r="E889" s="16"/>
      <c r="F889" s="16"/>
      <c r="G889" s="16"/>
      <c r="H889" s="16"/>
      <c r="I889" s="16"/>
      <c r="J889" s="16"/>
      <c r="K889" s="16"/>
      <c r="L889" s="16"/>
      <c r="M889" s="16"/>
      <c r="N889" s="16"/>
      <c r="O889" s="16"/>
      <c r="P889" s="16"/>
      <c r="Q889" s="16"/>
      <c r="R889" s="16"/>
      <c r="S889" s="16"/>
      <c r="T889" s="16"/>
      <c r="U889" s="13"/>
      <c r="V889" s="16"/>
      <c r="W889" s="16"/>
      <c r="X889" s="16"/>
      <c r="Y889" s="8"/>
    </row>
    <row r="890" spans="1:25" ht="15.75" customHeight="1">
      <c r="A890" s="16"/>
      <c r="B890" s="16"/>
      <c r="C890" s="16"/>
      <c r="D890" s="16"/>
      <c r="E890" s="16"/>
      <c r="F890" s="16"/>
      <c r="G890" s="16"/>
      <c r="H890" s="16"/>
      <c r="I890" s="16"/>
      <c r="J890" s="16"/>
      <c r="K890" s="16"/>
      <c r="L890" s="16"/>
      <c r="M890" s="16"/>
      <c r="N890" s="16"/>
      <c r="O890" s="16"/>
      <c r="P890" s="16"/>
      <c r="Q890" s="16"/>
      <c r="R890" s="16"/>
      <c r="S890" s="16"/>
      <c r="T890" s="16"/>
      <c r="U890" s="13"/>
      <c r="V890" s="16"/>
      <c r="W890" s="16"/>
      <c r="X890" s="16"/>
      <c r="Y890" s="8"/>
    </row>
    <row r="891" spans="1:25" ht="15.75" customHeight="1">
      <c r="A891" s="16"/>
      <c r="B891" s="16"/>
      <c r="C891" s="16"/>
      <c r="D891" s="16"/>
      <c r="E891" s="16"/>
      <c r="F891" s="16"/>
      <c r="G891" s="16"/>
      <c r="H891" s="16"/>
      <c r="I891" s="16"/>
      <c r="J891" s="16"/>
      <c r="K891" s="16"/>
      <c r="L891" s="16"/>
      <c r="M891" s="16"/>
      <c r="N891" s="16"/>
      <c r="O891" s="16"/>
      <c r="P891" s="16"/>
      <c r="Q891" s="16"/>
      <c r="R891" s="16"/>
      <c r="S891" s="16"/>
      <c r="T891" s="16"/>
      <c r="U891" s="13"/>
      <c r="V891" s="16"/>
      <c r="W891" s="16"/>
      <c r="X891" s="16"/>
      <c r="Y891" s="8"/>
    </row>
    <row r="892" spans="1:25" ht="15.75" customHeight="1">
      <c r="A892" s="16"/>
      <c r="B892" s="16"/>
      <c r="C892" s="16"/>
      <c r="D892" s="16"/>
      <c r="E892" s="16"/>
      <c r="F892" s="16"/>
      <c r="G892" s="16"/>
      <c r="H892" s="16"/>
      <c r="I892" s="16"/>
      <c r="J892" s="16"/>
      <c r="K892" s="16"/>
      <c r="L892" s="16"/>
      <c r="M892" s="16"/>
      <c r="N892" s="16"/>
      <c r="O892" s="16"/>
      <c r="P892" s="16"/>
      <c r="Q892" s="16"/>
      <c r="R892" s="16"/>
      <c r="S892" s="16"/>
      <c r="T892" s="16"/>
      <c r="U892" s="13"/>
      <c r="V892" s="16"/>
      <c r="W892" s="16"/>
      <c r="X892" s="16"/>
      <c r="Y892" s="8"/>
    </row>
    <row r="893" spans="1:25" ht="15.75" customHeight="1">
      <c r="A893" s="16"/>
      <c r="B893" s="16"/>
      <c r="C893" s="16"/>
      <c r="D893" s="16"/>
      <c r="E893" s="16"/>
      <c r="F893" s="16"/>
      <c r="G893" s="16"/>
      <c r="H893" s="16"/>
      <c r="I893" s="16"/>
      <c r="J893" s="16"/>
      <c r="K893" s="16"/>
      <c r="L893" s="16"/>
      <c r="M893" s="16"/>
      <c r="N893" s="16"/>
      <c r="O893" s="16"/>
      <c r="P893" s="16"/>
      <c r="Q893" s="16"/>
      <c r="R893" s="16"/>
      <c r="S893" s="16"/>
      <c r="T893" s="16"/>
      <c r="U893" s="13"/>
      <c r="V893" s="16"/>
      <c r="W893" s="16"/>
      <c r="X893" s="16"/>
      <c r="Y893" s="8"/>
    </row>
    <row r="894" spans="1:25" ht="15.75" customHeight="1">
      <c r="A894" s="16"/>
      <c r="B894" s="16"/>
      <c r="C894" s="16"/>
      <c r="D894" s="16"/>
      <c r="E894" s="16"/>
      <c r="F894" s="16"/>
      <c r="G894" s="16"/>
      <c r="H894" s="16"/>
      <c r="I894" s="16"/>
      <c r="J894" s="16"/>
      <c r="K894" s="16"/>
      <c r="L894" s="16"/>
      <c r="M894" s="16"/>
      <c r="N894" s="16"/>
      <c r="O894" s="16"/>
      <c r="P894" s="16"/>
      <c r="Q894" s="16"/>
      <c r="R894" s="16"/>
      <c r="S894" s="16"/>
      <c r="T894" s="16"/>
      <c r="U894" s="13"/>
      <c r="V894" s="16"/>
      <c r="W894" s="16"/>
      <c r="X894" s="16"/>
      <c r="Y894" s="8"/>
    </row>
    <row r="895" spans="1:25" ht="15.75" customHeight="1">
      <c r="A895" s="16"/>
      <c r="B895" s="16"/>
      <c r="C895" s="16"/>
      <c r="D895" s="16"/>
      <c r="E895" s="16"/>
      <c r="F895" s="16"/>
      <c r="G895" s="16"/>
      <c r="H895" s="16"/>
      <c r="I895" s="16"/>
      <c r="J895" s="16"/>
      <c r="K895" s="16"/>
      <c r="L895" s="16"/>
      <c r="M895" s="16"/>
      <c r="N895" s="16"/>
      <c r="O895" s="16"/>
      <c r="P895" s="16"/>
      <c r="Q895" s="16"/>
      <c r="R895" s="16"/>
      <c r="S895" s="16"/>
      <c r="T895" s="16"/>
      <c r="U895" s="13"/>
      <c r="V895" s="16"/>
      <c r="W895" s="16"/>
      <c r="X895" s="16"/>
      <c r="Y895" s="8"/>
    </row>
    <row r="896" spans="1:25" ht="15.75" customHeight="1">
      <c r="A896" s="16"/>
      <c r="B896" s="16"/>
      <c r="C896" s="16"/>
      <c r="D896" s="16"/>
      <c r="E896" s="16"/>
      <c r="F896" s="16"/>
      <c r="G896" s="16"/>
      <c r="H896" s="16"/>
      <c r="I896" s="16"/>
      <c r="J896" s="16"/>
      <c r="K896" s="16"/>
      <c r="L896" s="16"/>
      <c r="M896" s="16"/>
      <c r="N896" s="16"/>
      <c r="O896" s="16"/>
      <c r="P896" s="16"/>
      <c r="Q896" s="16"/>
      <c r="R896" s="16"/>
      <c r="S896" s="16"/>
      <c r="T896" s="16"/>
      <c r="U896" s="13"/>
      <c r="V896" s="16"/>
      <c r="W896" s="16"/>
      <c r="X896" s="16"/>
      <c r="Y896" s="8"/>
    </row>
    <row r="897" spans="1:25" ht="15.75" customHeight="1">
      <c r="A897" s="16"/>
      <c r="B897" s="16"/>
      <c r="C897" s="16"/>
      <c r="D897" s="16"/>
      <c r="E897" s="16"/>
      <c r="F897" s="16"/>
      <c r="G897" s="16"/>
      <c r="H897" s="16"/>
      <c r="I897" s="16"/>
      <c r="J897" s="16"/>
      <c r="K897" s="16"/>
      <c r="L897" s="16"/>
      <c r="M897" s="16"/>
      <c r="N897" s="16"/>
      <c r="O897" s="16"/>
      <c r="P897" s="16"/>
      <c r="Q897" s="16"/>
      <c r="R897" s="16"/>
      <c r="S897" s="16"/>
      <c r="T897" s="16"/>
      <c r="U897" s="13"/>
      <c r="V897" s="16"/>
      <c r="W897" s="16"/>
      <c r="X897" s="16"/>
      <c r="Y897" s="8"/>
    </row>
    <row r="898" spans="1:25" ht="15.75" customHeight="1">
      <c r="A898" s="16"/>
      <c r="B898" s="16"/>
      <c r="C898" s="16"/>
      <c r="D898" s="16"/>
      <c r="E898" s="16"/>
      <c r="F898" s="16"/>
      <c r="G898" s="16"/>
      <c r="H898" s="16"/>
      <c r="I898" s="16"/>
      <c r="J898" s="16"/>
      <c r="K898" s="16"/>
      <c r="L898" s="16"/>
      <c r="M898" s="16"/>
      <c r="N898" s="16"/>
      <c r="O898" s="16"/>
      <c r="P898" s="16"/>
      <c r="Q898" s="16"/>
      <c r="R898" s="16"/>
      <c r="S898" s="16"/>
      <c r="T898" s="16"/>
      <c r="U898" s="13"/>
      <c r="V898" s="16"/>
      <c r="W898" s="16"/>
      <c r="X898" s="16"/>
      <c r="Y898" s="8"/>
    </row>
    <row r="899" spans="1:25" ht="15.75" customHeight="1">
      <c r="A899" s="16"/>
      <c r="B899" s="16"/>
      <c r="C899" s="16"/>
      <c r="D899" s="16"/>
      <c r="E899" s="16"/>
      <c r="F899" s="16"/>
      <c r="G899" s="16"/>
      <c r="H899" s="16"/>
      <c r="I899" s="16"/>
      <c r="J899" s="16"/>
      <c r="K899" s="16"/>
      <c r="L899" s="16"/>
      <c r="M899" s="16"/>
      <c r="N899" s="16"/>
      <c r="O899" s="16"/>
      <c r="P899" s="16"/>
      <c r="Q899" s="16"/>
      <c r="R899" s="16"/>
      <c r="S899" s="16"/>
      <c r="T899" s="16"/>
      <c r="U899" s="13"/>
      <c r="V899" s="16"/>
      <c r="W899" s="16"/>
      <c r="X899" s="16"/>
      <c r="Y899" s="8"/>
    </row>
    <row r="900" spans="1:25" ht="15.75" customHeight="1">
      <c r="A900" s="16"/>
      <c r="B900" s="16"/>
      <c r="C900" s="16"/>
      <c r="D900" s="16"/>
      <c r="E900" s="16"/>
      <c r="F900" s="16"/>
      <c r="G900" s="16"/>
      <c r="H900" s="16"/>
      <c r="I900" s="16"/>
      <c r="J900" s="16"/>
      <c r="K900" s="16"/>
      <c r="L900" s="16"/>
      <c r="M900" s="16"/>
      <c r="N900" s="16"/>
      <c r="O900" s="16"/>
      <c r="P900" s="16"/>
      <c r="Q900" s="16"/>
      <c r="R900" s="16"/>
      <c r="S900" s="16"/>
      <c r="T900" s="16"/>
      <c r="U900" s="13"/>
      <c r="V900" s="16"/>
      <c r="W900" s="16"/>
      <c r="X900" s="16"/>
      <c r="Y900" s="8"/>
    </row>
    <row r="901" spans="1:25" ht="15.75" customHeight="1">
      <c r="A901" s="16"/>
      <c r="B901" s="16"/>
      <c r="C901" s="16"/>
      <c r="D901" s="16"/>
      <c r="E901" s="16"/>
      <c r="F901" s="16"/>
      <c r="G901" s="16"/>
      <c r="H901" s="16"/>
      <c r="I901" s="16"/>
      <c r="J901" s="16"/>
      <c r="K901" s="16"/>
      <c r="L901" s="16"/>
      <c r="M901" s="16"/>
      <c r="N901" s="16"/>
      <c r="O901" s="16"/>
      <c r="P901" s="16"/>
      <c r="Q901" s="16"/>
      <c r="R901" s="16"/>
      <c r="S901" s="16"/>
      <c r="T901" s="16"/>
      <c r="U901" s="13"/>
      <c r="V901" s="16"/>
      <c r="W901" s="16"/>
      <c r="X901" s="16"/>
      <c r="Y901" s="8"/>
    </row>
    <row r="902" spans="1:25" ht="15.75" customHeight="1">
      <c r="A902" s="16"/>
      <c r="B902" s="16"/>
      <c r="C902" s="16"/>
      <c r="D902" s="16"/>
      <c r="E902" s="16"/>
      <c r="F902" s="16"/>
      <c r="G902" s="16"/>
      <c r="H902" s="16"/>
      <c r="I902" s="16"/>
      <c r="J902" s="16"/>
      <c r="K902" s="16"/>
      <c r="L902" s="16"/>
      <c r="M902" s="16"/>
      <c r="N902" s="16"/>
      <c r="O902" s="16"/>
      <c r="P902" s="16"/>
      <c r="Q902" s="16"/>
      <c r="R902" s="16"/>
      <c r="S902" s="16"/>
      <c r="T902" s="16"/>
      <c r="U902" s="13"/>
      <c r="V902" s="16"/>
      <c r="W902" s="16"/>
      <c r="X902" s="16"/>
      <c r="Y902" s="8"/>
    </row>
    <row r="903" spans="1:25" ht="15.75" customHeight="1">
      <c r="A903" s="16"/>
      <c r="B903" s="16"/>
      <c r="C903" s="16"/>
      <c r="D903" s="16"/>
      <c r="E903" s="16"/>
      <c r="F903" s="16"/>
      <c r="G903" s="16"/>
      <c r="H903" s="16"/>
      <c r="I903" s="16"/>
      <c r="J903" s="16"/>
      <c r="K903" s="16"/>
      <c r="L903" s="16"/>
      <c r="M903" s="16"/>
      <c r="N903" s="16"/>
      <c r="O903" s="16"/>
      <c r="P903" s="16"/>
      <c r="Q903" s="16"/>
      <c r="R903" s="16"/>
      <c r="S903" s="16"/>
      <c r="T903" s="16"/>
      <c r="U903" s="13"/>
      <c r="V903" s="16"/>
      <c r="W903" s="16"/>
      <c r="X903" s="16"/>
      <c r="Y903" s="8"/>
    </row>
    <row r="904" spans="1:25" ht="15.75" customHeight="1">
      <c r="A904" s="16"/>
      <c r="B904" s="16"/>
      <c r="C904" s="16"/>
      <c r="D904" s="16"/>
      <c r="E904" s="16"/>
      <c r="F904" s="16"/>
      <c r="G904" s="16"/>
      <c r="H904" s="16"/>
      <c r="I904" s="16"/>
      <c r="J904" s="16"/>
      <c r="K904" s="16"/>
      <c r="L904" s="16"/>
      <c r="M904" s="16"/>
      <c r="N904" s="16"/>
      <c r="O904" s="16"/>
      <c r="P904" s="16"/>
      <c r="Q904" s="16"/>
      <c r="R904" s="16"/>
      <c r="S904" s="16"/>
      <c r="T904" s="16"/>
      <c r="U904" s="13"/>
      <c r="V904" s="16"/>
      <c r="W904" s="16"/>
      <c r="X904" s="16"/>
      <c r="Y904" s="8"/>
    </row>
    <row r="905" spans="1:25" ht="15.75" customHeight="1">
      <c r="A905" s="16"/>
      <c r="B905" s="16"/>
      <c r="C905" s="16"/>
      <c r="D905" s="16"/>
      <c r="E905" s="16"/>
      <c r="F905" s="16"/>
      <c r="G905" s="16"/>
      <c r="H905" s="16"/>
      <c r="I905" s="16"/>
      <c r="J905" s="16"/>
      <c r="K905" s="16"/>
      <c r="L905" s="16"/>
      <c r="M905" s="16"/>
      <c r="N905" s="16"/>
      <c r="O905" s="16"/>
      <c r="P905" s="16"/>
      <c r="Q905" s="16"/>
      <c r="R905" s="16"/>
      <c r="S905" s="16"/>
      <c r="T905" s="16"/>
      <c r="U905" s="13"/>
      <c r="V905" s="16"/>
      <c r="W905" s="16"/>
      <c r="X905" s="16"/>
      <c r="Y905" s="8"/>
    </row>
    <row r="906" spans="1:25" ht="15.75" customHeight="1">
      <c r="A906" s="16"/>
      <c r="B906" s="16"/>
      <c r="C906" s="16"/>
      <c r="D906" s="16"/>
      <c r="E906" s="16"/>
      <c r="F906" s="16"/>
      <c r="G906" s="16"/>
      <c r="H906" s="16"/>
      <c r="I906" s="16"/>
      <c r="J906" s="16"/>
      <c r="K906" s="16"/>
      <c r="L906" s="16"/>
      <c r="M906" s="16"/>
      <c r="N906" s="16"/>
      <c r="O906" s="16"/>
      <c r="P906" s="16"/>
      <c r="Q906" s="16"/>
      <c r="R906" s="16"/>
      <c r="S906" s="16"/>
      <c r="T906" s="16"/>
      <c r="U906" s="13"/>
      <c r="V906" s="16"/>
      <c r="W906" s="16"/>
      <c r="X906" s="16"/>
      <c r="Y906" s="8"/>
    </row>
    <row r="907" spans="1:25" ht="15.75" customHeight="1">
      <c r="A907" s="16"/>
      <c r="B907" s="16"/>
      <c r="C907" s="16"/>
      <c r="D907" s="16"/>
      <c r="E907" s="16"/>
      <c r="F907" s="16"/>
      <c r="G907" s="16"/>
      <c r="H907" s="16"/>
      <c r="I907" s="16"/>
      <c r="J907" s="16"/>
      <c r="K907" s="16"/>
      <c r="L907" s="16"/>
      <c r="M907" s="16"/>
      <c r="N907" s="16"/>
      <c r="O907" s="16"/>
      <c r="P907" s="16"/>
      <c r="Q907" s="16"/>
      <c r="R907" s="16"/>
      <c r="S907" s="16"/>
      <c r="T907" s="16"/>
      <c r="U907" s="13"/>
      <c r="V907" s="16"/>
      <c r="W907" s="16"/>
      <c r="X907" s="16"/>
      <c r="Y907" s="8"/>
    </row>
    <row r="908" spans="1:25" ht="15.75" customHeight="1">
      <c r="A908" s="16"/>
      <c r="B908" s="16"/>
      <c r="C908" s="16"/>
      <c r="D908" s="16"/>
      <c r="E908" s="16"/>
      <c r="F908" s="16"/>
      <c r="G908" s="16"/>
      <c r="H908" s="16"/>
      <c r="I908" s="16"/>
      <c r="J908" s="16"/>
      <c r="K908" s="16"/>
      <c r="L908" s="16"/>
      <c r="M908" s="16"/>
      <c r="N908" s="16"/>
      <c r="O908" s="16"/>
      <c r="P908" s="16"/>
      <c r="Q908" s="16"/>
      <c r="R908" s="16"/>
      <c r="S908" s="16"/>
      <c r="T908" s="16"/>
      <c r="U908" s="13"/>
      <c r="V908" s="16"/>
      <c r="W908" s="16"/>
      <c r="X908" s="16"/>
      <c r="Y908" s="8"/>
    </row>
    <row r="909" spans="1:25" ht="15.75" customHeight="1">
      <c r="A909" s="16"/>
      <c r="B909" s="16"/>
      <c r="C909" s="16"/>
      <c r="D909" s="16"/>
      <c r="E909" s="16"/>
      <c r="F909" s="16"/>
      <c r="G909" s="16"/>
      <c r="H909" s="16"/>
      <c r="I909" s="16"/>
      <c r="J909" s="16"/>
      <c r="K909" s="16"/>
      <c r="L909" s="16"/>
      <c r="M909" s="16"/>
      <c r="N909" s="16"/>
      <c r="O909" s="16"/>
      <c r="P909" s="16"/>
      <c r="Q909" s="16"/>
      <c r="R909" s="16"/>
      <c r="S909" s="16"/>
      <c r="T909" s="16"/>
      <c r="U909" s="13"/>
      <c r="V909" s="16"/>
      <c r="W909" s="16"/>
      <c r="X909" s="16"/>
      <c r="Y909" s="8"/>
    </row>
    <row r="910" spans="1:25" ht="15.75" customHeight="1">
      <c r="A910" s="16"/>
      <c r="B910" s="16"/>
      <c r="C910" s="16"/>
      <c r="D910" s="16"/>
      <c r="E910" s="16"/>
      <c r="F910" s="16"/>
      <c r="G910" s="16"/>
      <c r="H910" s="16"/>
      <c r="I910" s="16"/>
      <c r="J910" s="16"/>
      <c r="K910" s="16"/>
      <c r="L910" s="16"/>
      <c r="M910" s="16"/>
      <c r="N910" s="16"/>
      <c r="O910" s="16"/>
      <c r="P910" s="16"/>
      <c r="Q910" s="16"/>
      <c r="R910" s="16"/>
      <c r="S910" s="16"/>
      <c r="T910" s="16"/>
      <c r="U910" s="13"/>
      <c r="V910" s="16"/>
      <c r="W910" s="16"/>
      <c r="X910" s="16"/>
      <c r="Y910" s="8"/>
    </row>
    <row r="911" spans="1:25" ht="15.75" customHeight="1">
      <c r="A911" s="16"/>
      <c r="B911" s="16"/>
      <c r="C911" s="16"/>
      <c r="D911" s="16"/>
      <c r="E911" s="16"/>
      <c r="F911" s="16"/>
      <c r="G911" s="16"/>
      <c r="H911" s="16"/>
      <c r="I911" s="16"/>
      <c r="J911" s="16"/>
      <c r="K911" s="16"/>
      <c r="L911" s="16"/>
      <c r="M911" s="16"/>
      <c r="N911" s="16"/>
      <c r="O911" s="16"/>
      <c r="P911" s="16"/>
      <c r="Q911" s="16"/>
      <c r="R911" s="16"/>
      <c r="S911" s="16"/>
      <c r="T911" s="16"/>
      <c r="U911" s="13"/>
      <c r="V911" s="16"/>
      <c r="W911" s="16"/>
      <c r="X911" s="16"/>
      <c r="Y911" s="8"/>
    </row>
    <row r="912" spans="1:25" ht="15.75" customHeight="1">
      <c r="A912" s="16"/>
      <c r="B912" s="16"/>
      <c r="C912" s="16"/>
      <c r="D912" s="16"/>
      <c r="E912" s="16"/>
      <c r="F912" s="16"/>
      <c r="G912" s="16"/>
      <c r="H912" s="16"/>
      <c r="I912" s="16"/>
      <c r="J912" s="16"/>
      <c r="K912" s="16"/>
      <c r="L912" s="16"/>
      <c r="M912" s="16"/>
      <c r="N912" s="16"/>
      <c r="O912" s="16"/>
      <c r="P912" s="16"/>
      <c r="Q912" s="16"/>
      <c r="R912" s="16"/>
      <c r="S912" s="16"/>
      <c r="T912" s="16"/>
      <c r="U912" s="13"/>
      <c r="V912" s="16"/>
      <c r="W912" s="16"/>
      <c r="X912" s="16"/>
      <c r="Y912" s="8"/>
    </row>
    <row r="913" spans="1:25" ht="15.75" customHeight="1">
      <c r="A913" s="16"/>
      <c r="B913" s="16"/>
      <c r="C913" s="16"/>
      <c r="D913" s="16"/>
      <c r="E913" s="16"/>
      <c r="F913" s="16"/>
      <c r="G913" s="16"/>
      <c r="H913" s="16"/>
      <c r="I913" s="16"/>
      <c r="J913" s="16"/>
      <c r="K913" s="16"/>
      <c r="L913" s="16"/>
      <c r="M913" s="16"/>
      <c r="N913" s="16"/>
      <c r="O913" s="16"/>
      <c r="P913" s="16"/>
      <c r="Q913" s="16"/>
      <c r="R913" s="16"/>
      <c r="S913" s="16"/>
      <c r="T913" s="16"/>
      <c r="U913" s="13"/>
      <c r="V913" s="16"/>
      <c r="W913" s="16"/>
      <c r="X913" s="16"/>
      <c r="Y913" s="8"/>
    </row>
    <row r="914" spans="1:25" ht="15.75" customHeight="1">
      <c r="A914" s="16"/>
      <c r="B914" s="16"/>
      <c r="C914" s="16"/>
      <c r="D914" s="16"/>
      <c r="E914" s="16"/>
      <c r="F914" s="16"/>
      <c r="G914" s="16"/>
      <c r="H914" s="16"/>
      <c r="I914" s="16"/>
      <c r="J914" s="16"/>
      <c r="K914" s="16"/>
      <c r="L914" s="16"/>
      <c r="M914" s="16"/>
      <c r="N914" s="16"/>
      <c r="O914" s="16"/>
      <c r="P914" s="16"/>
      <c r="Q914" s="16"/>
      <c r="R914" s="16"/>
      <c r="S914" s="16"/>
      <c r="T914" s="16"/>
      <c r="U914" s="13"/>
      <c r="V914" s="16"/>
      <c r="W914" s="16"/>
      <c r="X914" s="16"/>
      <c r="Y914" s="8"/>
    </row>
    <row r="915" spans="1:25" ht="15.75" customHeight="1">
      <c r="A915" s="16"/>
      <c r="B915" s="16"/>
      <c r="C915" s="16"/>
      <c r="D915" s="16"/>
      <c r="E915" s="16"/>
      <c r="F915" s="16"/>
      <c r="G915" s="16"/>
      <c r="H915" s="16"/>
      <c r="I915" s="16"/>
      <c r="J915" s="16"/>
      <c r="K915" s="16"/>
      <c r="L915" s="16"/>
      <c r="M915" s="16"/>
      <c r="N915" s="16"/>
      <c r="O915" s="16"/>
      <c r="P915" s="16"/>
      <c r="Q915" s="16"/>
      <c r="R915" s="16"/>
      <c r="S915" s="16"/>
      <c r="T915" s="16"/>
      <c r="U915" s="13"/>
      <c r="V915" s="16"/>
      <c r="W915" s="16"/>
      <c r="X915" s="16"/>
      <c r="Y915" s="8"/>
    </row>
    <row r="916" spans="1:25" ht="15.75" customHeight="1">
      <c r="A916" s="16"/>
      <c r="B916" s="16"/>
      <c r="C916" s="16"/>
      <c r="D916" s="16"/>
      <c r="E916" s="16"/>
      <c r="F916" s="16"/>
      <c r="G916" s="16"/>
      <c r="H916" s="16"/>
      <c r="I916" s="16"/>
      <c r="J916" s="16"/>
      <c r="K916" s="16"/>
      <c r="L916" s="16"/>
      <c r="M916" s="16"/>
      <c r="N916" s="16"/>
      <c r="O916" s="16"/>
      <c r="P916" s="16"/>
      <c r="Q916" s="16"/>
      <c r="R916" s="16"/>
      <c r="S916" s="16"/>
      <c r="T916" s="16"/>
      <c r="U916" s="13"/>
      <c r="V916" s="16"/>
      <c r="W916" s="16"/>
      <c r="X916" s="16"/>
      <c r="Y916" s="8"/>
    </row>
    <row r="917" spans="1:25" ht="15.75" customHeight="1">
      <c r="A917" s="16"/>
      <c r="B917" s="16"/>
      <c r="C917" s="16"/>
      <c r="D917" s="16"/>
      <c r="E917" s="16"/>
      <c r="F917" s="16"/>
      <c r="G917" s="16"/>
      <c r="H917" s="16"/>
      <c r="I917" s="16"/>
      <c r="J917" s="16"/>
      <c r="K917" s="16"/>
      <c r="L917" s="16"/>
      <c r="M917" s="16"/>
      <c r="N917" s="16"/>
      <c r="O917" s="16"/>
      <c r="P917" s="16"/>
      <c r="Q917" s="16"/>
      <c r="R917" s="16"/>
      <c r="S917" s="16"/>
      <c r="T917" s="16"/>
      <c r="U917" s="13"/>
      <c r="V917" s="16"/>
      <c r="W917" s="16"/>
      <c r="X917" s="16"/>
      <c r="Y917" s="8"/>
    </row>
    <row r="918" spans="1:25" ht="15.75" customHeight="1">
      <c r="A918" s="16"/>
      <c r="B918" s="16"/>
      <c r="C918" s="16"/>
      <c r="D918" s="16"/>
      <c r="E918" s="16"/>
      <c r="F918" s="16"/>
      <c r="G918" s="16"/>
      <c r="H918" s="16"/>
      <c r="I918" s="16"/>
      <c r="J918" s="16"/>
      <c r="K918" s="16"/>
      <c r="L918" s="16"/>
      <c r="M918" s="16"/>
      <c r="N918" s="16"/>
      <c r="O918" s="16"/>
      <c r="P918" s="16"/>
      <c r="Q918" s="16"/>
      <c r="R918" s="16"/>
      <c r="S918" s="16"/>
      <c r="T918" s="16"/>
      <c r="U918" s="13"/>
      <c r="V918" s="16"/>
      <c r="W918" s="16"/>
      <c r="X918" s="16"/>
      <c r="Y918" s="8"/>
    </row>
    <row r="919" spans="1:25" ht="15.75" customHeight="1">
      <c r="A919" s="16"/>
      <c r="B919" s="16"/>
      <c r="C919" s="16"/>
      <c r="D919" s="16"/>
      <c r="E919" s="16"/>
      <c r="F919" s="16"/>
      <c r="G919" s="16"/>
      <c r="H919" s="16"/>
      <c r="I919" s="16"/>
      <c r="J919" s="16"/>
      <c r="K919" s="16"/>
      <c r="L919" s="16"/>
      <c r="M919" s="16"/>
      <c r="N919" s="16"/>
      <c r="O919" s="16"/>
      <c r="P919" s="16"/>
      <c r="Q919" s="16"/>
      <c r="R919" s="16"/>
      <c r="S919" s="16"/>
      <c r="T919" s="16"/>
      <c r="U919" s="13"/>
      <c r="V919" s="16"/>
      <c r="W919" s="16"/>
      <c r="X919" s="16"/>
      <c r="Y919" s="8"/>
    </row>
    <row r="920" spans="1:25" ht="15.75" customHeight="1">
      <c r="A920" s="16"/>
      <c r="B920" s="16"/>
      <c r="C920" s="16"/>
      <c r="D920" s="16"/>
      <c r="E920" s="16"/>
      <c r="F920" s="16"/>
      <c r="G920" s="16"/>
      <c r="H920" s="16"/>
      <c r="I920" s="16"/>
      <c r="J920" s="16"/>
      <c r="K920" s="16"/>
      <c r="L920" s="16"/>
      <c r="M920" s="16"/>
      <c r="N920" s="16"/>
      <c r="O920" s="16"/>
      <c r="P920" s="16"/>
      <c r="Q920" s="16"/>
      <c r="R920" s="16"/>
      <c r="S920" s="16"/>
      <c r="T920" s="16"/>
      <c r="U920" s="13"/>
      <c r="V920" s="16"/>
      <c r="W920" s="16"/>
      <c r="X920" s="16"/>
      <c r="Y920" s="8"/>
    </row>
    <row r="921" spans="1:25" ht="15.75" customHeight="1">
      <c r="A921" s="16"/>
      <c r="B921" s="16"/>
      <c r="C921" s="16"/>
      <c r="D921" s="16"/>
      <c r="E921" s="16"/>
      <c r="F921" s="16"/>
      <c r="G921" s="16"/>
      <c r="H921" s="16"/>
      <c r="I921" s="16"/>
      <c r="J921" s="16"/>
      <c r="K921" s="16"/>
      <c r="L921" s="16"/>
      <c r="M921" s="16"/>
      <c r="N921" s="16"/>
      <c r="O921" s="16"/>
      <c r="P921" s="16"/>
      <c r="Q921" s="16"/>
      <c r="R921" s="16"/>
      <c r="S921" s="16"/>
      <c r="T921" s="16"/>
      <c r="U921" s="13"/>
      <c r="V921" s="16"/>
      <c r="W921" s="16"/>
      <c r="X921" s="16"/>
      <c r="Y921" s="8"/>
    </row>
    <row r="922" spans="1:25" ht="15.75" customHeight="1">
      <c r="A922" s="16"/>
      <c r="B922" s="16"/>
      <c r="C922" s="16"/>
      <c r="D922" s="16"/>
      <c r="E922" s="16"/>
      <c r="F922" s="16"/>
      <c r="G922" s="16"/>
      <c r="H922" s="16"/>
      <c r="I922" s="16"/>
      <c r="J922" s="16"/>
      <c r="K922" s="16"/>
      <c r="L922" s="16"/>
      <c r="M922" s="16"/>
      <c r="N922" s="16"/>
      <c r="O922" s="16"/>
      <c r="P922" s="16"/>
      <c r="Q922" s="16"/>
      <c r="R922" s="16"/>
      <c r="S922" s="16"/>
      <c r="T922" s="16"/>
      <c r="U922" s="13"/>
      <c r="V922" s="16"/>
      <c r="W922" s="16"/>
      <c r="X922" s="16"/>
      <c r="Y922" s="8"/>
    </row>
    <row r="923" spans="1:25" ht="15.75" customHeight="1">
      <c r="A923" s="16"/>
      <c r="B923" s="16"/>
      <c r="C923" s="16"/>
      <c r="D923" s="16"/>
      <c r="E923" s="16"/>
      <c r="F923" s="16"/>
      <c r="G923" s="16"/>
      <c r="H923" s="16"/>
      <c r="I923" s="16"/>
      <c r="J923" s="16"/>
      <c r="K923" s="16"/>
      <c r="L923" s="16"/>
      <c r="M923" s="16"/>
      <c r="N923" s="16"/>
      <c r="O923" s="16"/>
      <c r="P923" s="16"/>
      <c r="Q923" s="16"/>
      <c r="R923" s="16"/>
      <c r="S923" s="16"/>
      <c r="T923" s="16"/>
      <c r="U923" s="13"/>
      <c r="V923" s="16"/>
      <c r="W923" s="16"/>
      <c r="X923" s="16"/>
      <c r="Y923" s="8"/>
    </row>
    <row r="924" spans="1:25" ht="15.75" customHeight="1">
      <c r="A924" s="16"/>
      <c r="B924" s="16"/>
      <c r="C924" s="16"/>
      <c r="D924" s="16"/>
      <c r="E924" s="16"/>
      <c r="F924" s="16"/>
      <c r="G924" s="16"/>
      <c r="H924" s="16"/>
      <c r="I924" s="16"/>
      <c r="J924" s="16"/>
      <c r="K924" s="16"/>
      <c r="L924" s="16"/>
      <c r="M924" s="16"/>
      <c r="N924" s="16"/>
      <c r="O924" s="16"/>
      <c r="P924" s="16"/>
      <c r="Q924" s="16"/>
      <c r="R924" s="16"/>
      <c r="S924" s="16"/>
      <c r="T924" s="16"/>
      <c r="U924" s="13"/>
      <c r="V924" s="16"/>
      <c r="W924" s="16"/>
      <c r="X924" s="16"/>
      <c r="Y924" s="8"/>
    </row>
    <row r="925" spans="1:25" ht="15.75" customHeight="1">
      <c r="A925" s="16"/>
      <c r="B925" s="16"/>
      <c r="C925" s="16"/>
      <c r="D925" s="16"/>
      <c r="E925" s="16"/>
      <c r="F925" s="16"/>
      <c r="G925" s="16"/>
      <c r="H925" s="16"/>
      <c r="I925" s="16"/>
      <c r="J925" s="16"/>
      <c r="K925" s="16"/>
      <c r="L925" s="16"/>
      <c r="M925" s="16"/>
      <c r="N925" s="16"/>
      <c r="O925" s="16"/>
      <c r="P925" s="16"/>
      <c r="Q925" s="16"/>
      <c r="R925" s="16"/>
      <c r="S925" s="16"/>
      <c r="T925" s="16"/>
      <c r="U925" s="13"/>
      <c r="V925" s="16"/>
      <c r="W925" s="16"/>
      <c r="X925" s="16"/>
      <c r="Y925" s="8"/>
    </row>
    <row r="926" spans="1:25" ht="15.75" customHeight="1">
      <c r="A926" s="16"/>
      <c r="B926" s="16"/>
      <c r="C926" s="16"/>
      <c r="D926" s="16"/>
      <c r="E926" s="16"/>
      <c r="F926" s="16"/>
      <c r="G926" s="16"/>
      <c r="H926" s="16"/>
      <c r="I926" s="16"/>
      <c r="J926" s="16"/>
      <c r="K926" s="16"/>
      <c r="L926" s="16"/>
      <c r="M926" s="16"/>
      <c r="N926" s="16"/>
      <c r="O926" s="16"/>
      <c r="P926" s="16"/>
      <c r="Q926" s="16"/>
      <c r="R926" s="16"/>
      <c r="S926" s="16"/>
      <c r="T926" s="16"/>
      <c r="U926" s="13"/>
      <c r="V926" s="16"/>
      <c r="W926" s="16"/>
      <c r="X926" s="16"/>
      <c r="Y926" s="8"/>
    </row>
    <row r="927" spans="1:25" ht="15.75" customHeight="1">
      <c r="A927" s="16"/>
      <c r="B927" s="16"/>
      <c r="C927" s="16"/>
      <c r="D927" s="16"/>
      <c r="E927" s="16"/>
      <c r="F927" s="16"/>
      <c r="G927" s="16"/>
      <c r="H927" s="16"/>
      <c r="I927" s="16"/>
      <c r="J927" s="16"/>
      <c r="K927" s="16"/>
      <c r="L927" s="16"/>
      <c r="M927" s="16"/>
      <c r="N927" s="16"/>
      <c r="O927" s="16"/>
      <c r="P927" s="16"/>
      <c r="Q927" s="16"/>
      <c r="R927" s="16"/>
      <c r="S927" s="16"/>
      <c r="T927" s="16"/>
      <c r="U927" s="13"/>
      <c r="V927" s="16"/>
      <c r="W927" s="16"/>
      <c r="X927" s="16"/>
      <c r="Y927" s="8"/>
    </row>
    <row r="928" spans="1:25" ht="15.75" customHeight="1">
      <c r="A928" s="16"/>
      <c r="B928" s="16"/>
      <c r="C928" s="16"/>
      <c r="D928" s="16"/>
      <c r="E928" s="16"/>
      <c r="F928" s="16"/>
      <c r="G928" s="16"/>
      <c r="H928" s="16"/>
      <c r="I928" s="16"/>
      <c r="J928" s="16"/>
      <c r="K928" s="16"/>
      <c r="L928" s="16"/>
      <c r="M928" s="16"/>
      <c r="N928" s="16"/>
      <c r="O928" s="16"/>
      <c r="P928" s="16"/>
      <c r="Q928" s="16"/>
      <c r="R928" s="16"/>
      <c r="S928" s="16"/>
      <c r="T928" s="16"/>
      <c r="U928" s="13"/>
      <c r="V928" s="16"/>
      <c r="W928" s="16"/>
      <c r="X928" s="16"/>
      <c r="Y928" s="8"/>
    </row>
    <row r="929" spans="1:25" ht="15.75" customHeight="1">
      <c r="A929" s="16"/>
      <c r="B929" s="16"/>
      <c r="C929" s="16"/>
      <c r="D929" s="16"/>
      <c r="E929" s="16"/>
      <c r="F929" s="16"/>
      <c r="G929" s="16"/>
      <c r="H929" s="16"/>
      <c r="I929" s="16"/>
      <c r="J929" s="16"/>
      <c r="K929" s="16"/>
      <c r="L929" s="16"/>
      <c r="M929" s="16"/>
      <c r="N929" s="16"/>
      <c r="O929" s="16"/>
      <c r="P929" s="16"/>
      <c r="Q929" s="16"/>
      <c r="R929" s="16"/>
      <c r="S929" s="16"/>
      <c r="T929" s="16"/>
      <c r="U929" s="13"/>
      <c r="V929" s="16"/>
      <c r="W929" s="16"/>
      <c r="X929" s="16"/>
      <c r="Y929" s="8"/>
    </row>
    <row r="930" spans="1:25" ht="15.75" customHeight="1">
      <c r="A930" s="16"/>
      <c r="B930" s="16"/>
      <c r="C930" s="16"/>
      <c r="D930" s="16"/>
      <c r="E930" s="16"/>
      <c r="F930" s="16"/>
      <c r="G930" s="16"/>
      <c r="H930" s="16"/>
      <c r="I930" s="16"/>
      <c r="J930" s="16"/>
      <c r="K930" s="16"/>
      <c r="L930" s="16"/>
      <c r="M930" s="16"/>
      <c r="N930" s="16"/>
      <c r="O930" s="16"/>
      <c r="P930" s="16"/>
      <c r="Q930" s="16"/>
      <c r="R930" s="16"/>
      <c r="S930" s="16"/>
      <c r="T930" s="16"/>
      <c r="U930" s="13"/>
      <c r="V930" s="16"/>
      <c r="W930" s="16"/>
      <c r="X930" s="16"/>
      <c r="Y930" s="8"/>
    </row>
    <row r="931" spans="1:25" ht="15.75" customHeight="1">
      <c r="A931" s="16"/>
      <c r="B931" s="16"/>
      <c r="C931" s="16"/>
      <c r="D931" s="16"/>
      <c r="E931" s="16"/>
      <c r="F931" s="16"/>
      <c r="G931" s="16"/>
      <c r="H931" s="16"/>
      <c r="I931" s="16"/>
      <c r="J931" s="16"/>
      <c r="K931" s="16"/>
      <c r="L931" s="16"/>
      <c r="M931" s="16"/>
      <c r="N931" s="16"/>
      <c r="O931" s="16"/>
      <c r="P931" s="16"/>
      <c r="Q931" s="16"/>
      <c r="R931" s="16"/>
      <c r="S931" s="16"/>
      <c r="T931" s="16"/>
      <c r="U931" s="13"/>
      <c r="V931" s="16"/>
      <c r="W931" s="16"/>
      <c r="X931" s="16"/>
      <c r="Y931" s="8"/>
    </row>
    <row r="932" spans="1:25" ht="15.75" customHeight="1">
      <c r="A932" s="16"/>
      <c r="B932" s="16"/>
      <c r="C932" s="16"/>
      <c r="D932" s="16"/>
      <c r="E932" s="16"/>
      <c r="F932" s="16"/>
      <c r="G932" s="16"/>
      <c r="H932" s="16"/>
      <c r="I932" s="16"/>
      <c r="J932" s="16"/>
      <c r="K932" s="16"/>
      <c r="L932" s="16"/>
      <c r="M932" s="16"/>
      <c r="N932" s="16"/>
      <c r="O932" s="16"/>
      <c r="P932" s="16"/>
      <c r="Q932" s="16"/>
      <c r="R932" s="16"/>
      <c r="S932" s="16"/>
      <c r="T932" s="16"/>
      <c r="U932" s="13"/>
      <c r="V932" s="16"/>
      <c r="W932" s="16"/>
      <c r="X932" s="16"/>
      <c r="Y932" s="8"/>
    </row>
    <row r="933" spans="1:25" ht="15.75" customHeight="1">
      <c r="A933" s="16"/>
      <c r="B933" s="16"/>
      <c r="C933" s="16"/>
      <c r="D933" s="16"/>
      <c r="E933" s="16"/>
      <c r="F933" s="16"/>
      <c r="G933" s="16"/>
      <c r="H933" s="16"/>
      <c r="I933" s="16"/>
      <c r="J933" s="16"/>
      <c r="K933" s="16"/>
      <c r="L933" s="16"/>
      <c r="M933" s="16"/>
      <c r="N933" s="16"/>
      <c r="O933" s="16"/>
      <c r="P933" s="16"/>
      <c r="Q933" s="16"/>
      <c r="R933" s="16"/>
      <c r="S933" s="16"/>
      <c r="T933" s="16"/>
      <c r="U933" s="13"/>
      <c r="V933" s="16"/>
      <c r="W933" s="16"/>
      <c r="X933" s="16"/>
      <c r="Y933" s="8"/>
    </row>
    <row r="934" spans="1:25" ht="15.75" customHeight="1">
      <c r="A934" s="16"/>
      <c r="B934" s="16"/>
      <c r="C934" s="16"/>
      <c r="D934" s="16"/>
      <c r="E934" s="16"/>
      <c r="F934" s="16"/>
      <c r="G934" s="16"/>
      <c r="H934" s="16"/>
      <c r="I934" s="16"/>
      <c r="J934" s="16"/>
      <c r="K934" s="16"/>
      <c r="L934" s="16"/>
      <c r="M934" s="16"/>
      <c r="N934" s="16"/>
      <c r="O934" s="16"/>
      <c r="P934" s="16"/>
      <c r="Q934" s="16"/>
      <c r="R934" s="16"/>
      <c r="S934" s="16"/>
      <c r="T934" s="16"/>
      <c r="U934" s="13"/>
      <c r="V934" s="16"/>
      <c r="W934" s="16"/>
      <c r="X934" s="16"/>
      <c r="Y934" s="8"/>
    </row>
    <row r="935" spans="1:25" ht="15.75" customHeight="1">
      <c r="A935" s="16"/>
      <c r="B935" s="16"/>
      <c r="C935" s="16"/>
      <c r="D935" s="16"/>
      <c r="E935" s="16"/>
      <c r="F935" s="16"/>
      <c r="G935" s="16"/>
      <c r="H935" s="16"/>
      <c r="I935" s="16"/>
      <c r="J935" s="16"/>
      <c r="K935" s="16"/>
      <c r="L935" s="16"/>
      <c r="M935" s="16"/>
      <c r="N935" s="16"/>
      <c r="O935" s="16"/>
      <c r="P935" s="16"/>
      <c r="Q935" s="16"/>
      <c r="R935" s="16"/>
      <c r="S935" s="16"/>
      <c r="T935" s="16"/>
      <c r="U935" s="13"/>
      <c r="V935" s="16"/>
      <c r="W935" s="16"/>
      <c r="X935" s="16"/>
      <c r="Y935" s="8"/>
    </row>
    <row r="936" spans="1:25" ht="15.75" customHeight="1">
      <c r="A936" s="16"/>
      <c r="B936" s="16"/>
      <c r="C936" s="16"/>
      <c r="D936" s="16"/>
      <c r="E936" s="16"/>
      <c r="F936" s="16"/>
      <c r="G936" s="16"/>
      <c r="H936" s="16"/>
      <c r="I936" s="16"/>
      <c r="J936" s="16"/>
      <c r="K936" s="16"/>
      <c r="L936" s="16"/>
      <c r="M936" s="16"/>
      <c r="N936" s="16"/>
      <c r="O936" s="16"/>
      <c r="P936" s="16"/>
      <c r="Q936" s="16"/>
      <c r="R936" s="16"/>
      <c r="S936" s="16"/>
      <c r="T936" s="16"/>
      <c r="U936" s="13"/>
      <c r="V936" s="16"/>
      <c r="W936" s="16"/>
      <c r="X936" s="16"/>
      <c r="Y936" s="8"/>
    </row>
    <row r="937" spans="1:25" ht="15.75" customHeight="1">
      <c r="A937" s="16"/>
      <c r="B937" s="16"/>
      <c r="C937" s="16"/>
      <c r="D937" s="16"/>
      <c r="E937" s="16"/>
      <c r="F937" s="16"/>
      <c r="G937" s="16"/>
      <c r="H937" s="16"/>
      <c r="I937" s="16"/>
      <c r="J937" s="16"/>
      <c r="K937" s="16"/>
      <c r="L937" s="16"/>
      <c r="M937" s="16"/>
      <c r="N937" s="16"/>
      <c r="O937" s="16"/>
      <c r="P937" s="16"/>
      <c r="Q937" s="16"/>
      <c r="R937" s="16"/>
      <c r="S937" s="16"/>
      <c r="T937" s="16"/>
      <c r="U937" s="13"/>
      <c r="V937" s="16"/>
      <c r="W937" s="16"/>
      <c r="X937" s="16"/>
      <c r="Y937" s="8"/>
    </row>
    <row r="938" spans="1:25" ht="15.75" customHeight="1">
      <c r="A938" s="16"/>
      <c r="B938" s="16"/>
      <c r="C938" s="16"/>
      <c r="D938" s="16"/>
      <c r="E938" s="16"/>
      <c r="F938" s="16"/>
      <c r="G938" s="16"/>
      <c r="H938" s="16"/>
      <c r="I938" s="16"/>
      <c r="J938" s="16"/>
      <c r="K938" s="16"/>
      <c r="L938" s="16"/>
      <c r="M938" s="16"/>
      <c r="N938" s="16"/>
      <c r="O938" s="16"/>
      <c r="P938" s="16"/>
      <c r="Q938" s="16"/>
      <c r="R938" s="16"/>
      <c r="S938" s="16"/>
      <c r="T938" s="16"/>
      <c r="U938" s="13"/>
      <c r="V938" s="16"/>
      <c r="W938" s="16"/>
      <c r="X938" s="16"/>
      <c r="Y938" s="8"/>
    </row>
    <row r="939" spans="1:25" ht="15.75" customHeight="1">
      <c r="A939" s="16"/>
      <c r="B939" s="16"/>
      <c r="C939" s="16"/>
      <c r="D939" s="16"/>
      <c r="E939" s="16"/>
      <c r="F939" s="16"/>
      <c r="G939" s="16"/>
      <c r="H939" s="16"/>
      <c r="I939" s="16"/>
      <c r="J939" s="16"/>
      <c r="K939" s="16"/>
      <c r="L939" s="16"/>
      <c r="M939" s="16"/>
      <c r="N939" s="16"/>
      <c r="O939" s="16"/>
      <c r="P939" s="16"/>
      <c r="Q939" s="16"/>
      <c r="R939" s="16"/>
      <c r="S939" s="16"/>
      <c r="T939" s="16"/>
      <c r="U939" s="13"/>
      <c r="V939" s="16"/>
      <c r="W939" s="16"/>
      <c r="X939" s="16"/>
      <c r="Y939" s="8"/>
    </row>
    <row r="940" spans="1:25" ht="15.75" customHeight="1">
      <c r="A940" s="16"/>
      <c r="B940" s="16"/>
      <c r="C940" s="16"/>
      <c r="D940" s="16"/>
      <c r="E940" s="16"/>
      <c r="F940" s="16"/>
      <c r="G940" s="16"/>
      <c r="H940" s="16"/>
      <c r="I940" s="16"/>
      <c r="J940" s="16"/>
      <c r="K940" s="16"/>
      <c r="L940" s="16"/>
      <c r="M940" s="16"/>
      <c r="N940" s="16"/>
      <c r="O940" s="16"/>
      <c r="P940" s="16"/>
      <c r="Q940" s="16"/>
      <c r="R940" s="16"/>
      <c r="S940" s="16"/>
      <c r="T940" s="16"/>
      <c r="U940" s="13"/>
      <c r="V940" s="16"/>
      <c r="W940" s="16"/>
      <c r="X940" s="16"/>
      <c r="Y940" s="8"/>
    </row>
    <row r="941" spans="1:25" ht="15.75" customHeight="1">
      <c r="A941" s="16"/>
      <c r="B941" s="16"/>
      <c r="C941" s="16"/>
      <c r="D941" s="16"/>
      <c r="E941" s="16"/>
      <c r="F941" s="16"/>
      <c r="G941" s="16"/>
      <c r="H941" s="16"/>
      <c r="I941" s="16"/>
      <c r="J941" s="16"/>
      <c r="K941" s="16"/>
      <c r="L941" s="16"/>
      <c r="M941" s="16"/>
      <c r="N941" s="16"/>
      <c r="O941" s="16"/>
      <c r="P941" s="16"/>
      <c r="Q941" s="16"/>
      <c r="R941" s="16"/>
      <c r="S941" s="16"/>
      <c r="T941" s="16"/>
      <c r="U941" s="13"/>
      <c r="V941" s="16"/>
      <c r="W941" s="16"/>
      <c r="X941" s="16"/>
      <c r="Y941" s="8"/>
    </row>
    <row r="942" spans="1:25" ht="15.75" customHeight="1">
      <c r="A942" s="16"/>
      <c r="B942" s="16"/>
      <c r="C942" s="16"/>
      <c r="D942" s="16"/>
      <c r="E942" s="16"/>
      <c r="F942" s="16"/>
      <c r="G942" s="16"/>
      <c r="H942" s="16"/>
      <c r="I942" s="16"/>
      <c r="J942" s="16"/>
      <c r="K942" s="16"/>
      <c r="L942" s="16"/>
      <c r="M942" s="16"/>
      <c r="N942" s="16"/>
      <c r="O942" s="16"/>
      <c r="P942" s="16"/>
      <c r="Q942" s="16"/>
      <c r="R942" s="16"/>
      <c r="S942" s="16"/>
      <c r="T942" s="16"/>
      <c r="U942" s="13"/>
      <c r="V942" s="16"/>
      <c r="W942" s="16"/>
      <c r="X942" s="16"/>
      <c r="Y942" s="8"/>
    </row>
    <row r="943" spans="1:25" ht="15.75" customHeight="1">
      <c r="A943" s="16"/>
      <c r="B943" s="16"/>
      <c r="C943" s="16"/>
      <c r="D943" s="16"/>
      <c r="E943" s="16"/>
      <c r="F943" s="16"/>
      <c r="G943" s="16"/>
      <c r="H943" s="16"/>
      <c r="I943" s="16"/>
      <c r="J943" s="16"/>
      <c r="K943" s="16"/>
      <c r="L943" s="16"/>
      <c r="M943" s="16"/>
      <c r="N943" s="16"/>
      <c r="O943" s="16"/>
      <c r="P943" s="16"/>
      <c r="Q943" s="16"/>
      <c r="R943" s="16"/>
      <c r="S943" s="16"/>
      <c r="T943" s="16"/>
      <c r="U943" s="13"/>
      <c r="V943" s="16"/>
      <c r="W943" s="16"/>
      <c r="X943" s="16"/>
      <c r="Y943" s="8"/>
    </row>
    <row r="944" spans="1:25" ht="15.75" customHeight="1">
      <c r="A944" s="16"/>
      <c r="B944" s="16"/>
      <c r="C944" s="16"/>
      <c r="D944" s="16"/>
      <c r="E944" s="16"/>
      <c r="F944" s="16"/>
      <c r="G944" s="16"/>
      <c r="H944" s="16"/>
      <c r="I944" s="16"/>
      <c r="J944" s="16"/>
      <c r="K944" s="16"/>
      <c r="L944" s="16"/>
      <c r="M944" s="16"/>
      <c r="N944" s="16"/>
      <c r="O944" s="16"/>
      <c r="P944" s="16"/>
      <c r="Q944" s="16"/>
      <c r="R944" s="16"/>
      <c r="S944" s="16"/>
      <c r="T944" s="16"/>
      <c r="U944" s="13"/>
      <c r="V944" s="16"/>
      <c r="W944" s="16"/>
      <c r="X944" s="16"/>
      <c r="Y944" s="8"/>
    </row>
    <row r="945" spans="1:25" ht="15.75" customHeight="1">
      <c r="A945" s="16"/>
      <c r="B945" s="16"/>
      <c r="C945" s="16"/>
      <c r="D945" s="16"/>
      <c r="E945" s="16"/>
      <c r="F945" s="16"/>
      <c r="G945" s="16"/>
      <c r="H945" s="16"/>
      <c r="I945" s="16"/>
      <c r="J945" s="16"/>
      <c r="K945" s="16"/>
      <c r="L945" s="16"/>
      <c r="M945" s="16"/>
      <c r="N945" s="16"/>
      <c r="O945" s="16"/>
      <c r="P945" s="16"/>
      <c r="Q945" s="16"/>
      <c r="R945" s="16"/>
      <c r="S945" s="16"/>
      <c r="T945" s="16"/>
      <c r="U945" s="13"/>
      <c r="V945" s="16"/>
      <c r="W945" s="16"/>
      <c r="X945" s="16"/>
      <c r="Y945" s="8"/>
    </row>
    <row r="946" spans="1:25" ht="15.75" customHeight="1">
      <c r="A946" s="16"/>
      <c r="B946" s="16"/>
      <c r="C946" s="16"/>
      <c r="D946" s="16"/>
      <c r="E946" s="16"/>
      <c r="F946" s="16"/>
      <c r="G946" s="16"/>
      <c r="H946" s="16"/>
      <c r="I946" s="16"/>
      <c r="J946" s="16"/>
      <c r="K946" s="16"/>
      <c r="L946" s="16"/>
      <c r="M946" s="16"/>
      <c r="N946" s="16"/>
      <c r="O946" s="16"/>
      <c r="P946" s="16"/>
      <c r="Q946" s="16"/>
      <c r="R946" s="16"/>
      <c r="S946" s="16"/>
      <c r="T946" s="16"/>
      <c r="U946" s="13"/>
      <c r="V946" s="16"/>
      <c r="W946" s="16"/>
      <c r="X946" s="16"/>
      <c r="Y946" s="8"/>
    </row>
    <row r="947" spans="1:25" ht="15.75" customHeight="1">
      <c r="A947" s="16"/>
      <c r="B947" s="16"/>
      <c r="C947" s="16"/>
      <c r="D947" s="16"/>
      <c r="E947" s="16"/>
      <c r="F947" s="16"/>
      <c r="G947" s="16"/>
      <c r="H947" s="16"/>
      <c r="I947" s="16"/>
      <c r="J947" s="16"/>
      <c r="K947" s="16"/>
      <c r="L947" s="16"/>
      <c r="M947" s="16"/>
      <c r="N947" s="16"/>
      <c r="O947" s="16"/>
      <c r="P947" s="16"/>
      <c r="Q947" s="16"/>
      <c r="R947" s="16"/>
      <c r="S947" s="16"/>
      <c r="T947" s="16"/>
      <c r="U947" s="13"/>
      <c r="V947" s="16"/>
      <c r="W947" s="16"/>
      <c r="X947" s="16"/>
      <c r="Y947" s="8"/>
    </row>
    <row r="948" spans="1:25" ht="15.75" customHeight="1">
      <c r="A948" s="16"/>
      <c r="B948" s="16"/>
      <c r="C948" s="16"/>
      <c r="D948" s="16"/>
      <c r="E948" s="16"/>
      <c r="F948" s="16"/>
      <c r="G948" s="16"/>
      <c r="H948" s="16"/>
      <c r="I948" s="16"/>
      <c r="J948" s="16"/>
      <c r="K948" s="16"/>
      <c r="L948" s="16"/>
      <c r="M948" s="16"/>
      <c r="N948" s="16"/>
      <c r="O948" s="16"/>
      <c r="P948" s="16"/>
      <c r="Q948" s="16"/>
      <c r="R948" s="16"/>
      <c r="S948" s="16"/>
      <c r="T948" s="16"/>
      <c r="U948" s="13"/>
      <c r="V948" s="16"/>
      <c r="W948" s="16"/>
      <c r="X948" s="16"/>
      <c r="Y948" s="8"/>
    </row>
    <row r="949" spans="1:25" ht="15.75" customHeight="1">
      <c r="A949" s="16"/>
      <c r="B949" s="16"/>
      <c r="C949" s="16"/>
      <c r="D949" s="16"/>
      <c r="E949" s="16"/>
      <c r="F949" s="16"/>
      <c r="G949" s="16"/>
      <c r="H949" s="16"/>
      <c r="I949" s="16"/>
      <c r="J949" s="16"/>
      <c r="K949" s="16"/>
      <c r="L949" s="16"/>
      <c r="M949" s="16"/>
      <c r="N949" s="16"/>
      <c r="O949" s="16"/>
      <c r="P949" s="16"/>
      <c r="Q949" s="16"/>
      <c r="R949" s="16"/>
      <c r="S949" s="16"/>
      <c r="T949" s="16"/>
      <c r="U949" s="13"/>
      <c r="V949" s="16"/>
      <c r="W949" s="16"/>
      <c r="X949" s="16"/>
      <c r="Y949" s="8"/>
    </row>
    <row r="950" spans="1:25" ht="15.75" customHeight="1">
      <c r="A950" s="16"/>
      <c r="B950" s="16"/>
      <c r="C950" s="16"/>
      <c r="D950" s="16"/>
      <c r="E950" s="16"/>
      <c r="F950" s="16"/>
      <c r="G950" s="16"/>
      <c r="H950" s="16"/>
      <c r="I950" s="16"/>
      <c r="J950" s="16"/>
      <c r="K950" s="16"/>
      <c r="L950" s="16"/>
      <c r="M950" s="16"/>
      <c r="N950" s="16"/>
      <c r="O950" s="16"/>
      <c r="P950" s="16"/>
      <c r="Q950" s="16"/>
      <c r="R950" s="16"/>
      <c r="S950" s="16"/>
      <c r="T950" s="16"/>
      <c r="U950" s="13"/>
      <c r="V950" s="16"/>
      <c r="W950" s="16"/>
      <c r="X950" s="16"/>
      <c r="Y950" s="8"/>
    </row>
    <row r="951" spans="1:25" ht="15.75" customHeight="1">
      <c r="A951" s="16"/>
      <c r="B951" s="16"/>
      <c r="C951" s="16"/>
      <c r="D951" s="16"/>
      <c r="E951" s="16"/>
      <c r="F951" s="16"/>
      <c r="G951" s="16"/>
      <c r="H951" s="16"/>
      <c r="I951" s="16"/>
      <c r="J951" s="16"/>
      <c r="K951" s="16"/>
      <c r="L951" s="16"/>
      <c r="M951" s="16"/>
      <c r="N951" s="16"/>
      <c r="O951" s="16"/>
      <c r="P951" s="16"/>
      <c r="Q951" s="16"/>
      <c r="R951" s="16"/>
      <c r="S951" s="16"/>
      <c r="T951" s="16"/>
      <c r="U951" s="13"/>
      <c r="V951" s="16"/>
      <c r="W951" s="16"/>
      <c r="X951" s="16"/>
      <c r="Y951" s="8"/>
    </row>
    <row r="952" spans="1:25" ht="15.75" customHeight="1">
      <c r="A952" s="16"/>
      <c r="B952" s="16"/>
      <c r="C952" s="16"/>
      <c r="D952" s="16"/>
      <c r="E952" s="16"/>
      <c r="F952" s="16"/>
      <c r="G952" s="16"/>
      <c r="H952" s="16"/>
      <c r="I952" s="16"/>
      <c r="J952" s="16"/>
      <c r="K952" s="16"/>
      <c r="L952" s="16"/>
      <c r="M952" s="16"/>
      <c r="N952" s="16"/>
      <c r="O952" s="16"/>
      <c r="P952" s="16"/>
      <c r="Q952" s="16"/>
      <c r="R952" s="16"/>
      <c r="S952" s="16"/>
      <c r="T952" s="16"/>
      <c r="U952" s="13"/>
      <c r="V952" s="16"/>
      <c r="W952" s="16"/>
      <c r="X952" s="16"/>
      <c r="Y952" s="8"/>
    </row>
    <row r="953" spans="1:25" ht="15.75" customHeight="1">
      <c r="A953" s="16"/>
      <c r="B953" s="16"/>
      <c r="C953" s="16"/>
      <c r="D953" s="16"/>
      <c r="E953" s="16"/>
      <c r="F953" s="16"/>
      <c r="G953" s="16"/>
      <c r="H953" s="16"/>
      <c r="I953" s="16"/>
      <c r="J953" s="16"/>
      <c r="K953" s="16"/>
      <c r="L953" s="16"/>
      <c r="M953" s="16"/>
      <c r="N953" s="16"/>
      <c r="O953" s="16"/>
      <c r="P953" s="16"/>
      <c r="Q953" s="16"/>
      <c r="R953" s="16"/>
      <c r="S953" s="16"/>
      <c r="T953" s="16"/>
      <c r="U953" s="13"/>
      <c r="V953" s="16"/>
      <c r="W953" s="16"/>
      <c r="X953" s="16"/>
      <c r="Y953" s="8"/>
    </row>
    <row r="954" spans="1:25" ht="15.75" customHeight="1">
      <c r="A954" s="16"/>
      <c r="B954" s="16"/>
      <c r="C954" s="16"/>
      <c r="D954" s="16"/>
      <c r="E954" s="16"/>
      <c r="F954" s="16"/>
      <c r="G954" s="16"/>
      <c r="H954" s="16"/>
      <c r="I954" s="16"/>
      <c r="J954" s="16"/>
      <c r="K954" s="16"/>
      <c r="L954" s="16"/>
      <c r="M954" s="16"/>
      <c r="N954" s="16"/>
      <c r="O954" s="16"/>
      <c r="P954" s="16"/>
      <c r="Q954" s="16"/>
      <c r="R954" s="16"/>
      <c r="S954" s="16"/>
      <c r="T954" s="16"/>
      <c r="U954" s="13"/>
      <c r="V954" s="16"/>
      <c r="W954" s="16"/>
      <c r="X954" s="16"/>
      <c r="Y954" s="8"/>
    </row>
    <row r="955" spans="1:25" ht="15.75" customHeight="1">
      <c r="A955" s="16"/>
      <c r="B955" s="16"/>
      <c r="C955" s="16"/>
      <c r="D955" s="16"/>
      <c r="E955" s="16"/>
      <c r="F955" s="16"/>
      <c r="G955" s="16"/>
      <c r="H955" s="16"/>
      <c r="I955" s="16"/>
      <c r="J955" s="16"/>
      <c r="K955" s="16"/>
      <c r="L955" s="16"/>
      <c r="M955" s="16"/>
      <c r="N955" s="16"/>
      <c r="O955" s="16"/>
      <c r="P955" s="16"/>
      <c r="Q955" s="16"/>
      <c r="R955" s="16"/>
      <c r="S955" s="16"/>
      <c r="T955" s="16"/>
      <c r="U955" s="13"/>
      <c r="V955" s="16"/>
      <c r="W955" s="16"/>
      <c r="X955" s="16"/>
      <c r="Y955" s="8"/>
    </row>
    <row r="956" spans="1:25" ht="15.75" customHeight="1">
      <c r="A956" s="16"/>
      <c r="B956" s="16"/>
      <c r="C956" s="16"/>
      <c r="D956" s="16"/>
      <c r="E956" s="16"/>
      <c r="F956" s="16"/>
      <c r="G956" s="16"/>
      <c r="H956" s="16"/>
      <c r="I956" s="16"/>
      <c r="J956" s="16"/>
      <c r="K956" s="16"/>
      <c r="L956" s="16"/>
      <c r="M956" s="16"/>
      <c r="N956" s="16"/>
      <c r="O956" s="16"/>
      <c r="P956" s="16"/>
      <c r="Q956" s="16"/>
      <c r="R956" s="16"/>
      <c r="S956" s="16"/>
      <c r="T956" s="16"/>
      <c r="U956" s="13"/>
      <c r="V956" s="16"/>
      <c r="W956" s="16"/>
      <c r="X956" s="16"/>
      <c r="Y956" s="8"/>
    </row>
    <row r="957" spans="1:25" ht="15.75" customHeight="1">
      <c r="A957" s="16"/>
      <c r="B957" s="16"/>
      <c r="C957" s="16"/>
      <c r="D957" s="16"/>
      <c r="E957" s="16"/>
      <c r="F957" s="16"/>
      <c r="G957" s="16"/>
      <c r="H957" s="16"/>
      <c r="I957" s="16"/>
      <c r="J957" s="16"/>
      <c r="K957" s="16"/>
      <c r="L957" s="16"/>
      <c r="M957" s="16"/>
      <c r="N957" s="16"/>
      <c r="O957" s="16"/>
      <c r="P957" s="16"/>
      <c r="Q957" s="16"/>
      <c r="R957" s="16"/>
      <c r="S957" s="16"/>
      <c r="T957" s="16"/>
      <c r="U957" s="13"/>
      <c r="V957" s="16"/>
      <c r="W957" s="16"/>
      <c r="X957" s="16"/>
      <c r="Y957" s="8"/>
    </row>
    <row r="958" spans="1:25" ht="15.75" customHeight="1">
      <c r="A958" s="16"/>
      <c r="B958" s="16"/>
      <c r="C958" s="16"/>
      <c r="D958" s="16"/>
      <c r="E958" s="16"/>
      <c r="F958" s="16"/>
      <c r="G958" s="16"/>
      <c r="H958" s="16"/>
      <c r="I958" s="16"/>
      <c r="J958" s="16"/>
      <c r="K958" s="16"/>
      <c r="L958" s="16"/>
      <c r="M958" s="16"/>
      <c r="N958" s="16"/>
      <c r="O958" s="16"/>
      <c r="P958" s="16"/>
      <c r="Q958" s="16"/>
      <c r="R958" s="16"/>
      <c r="S958" s="16"/>
      <c r="T958" s="16"/>
      <c r="U958" s="13"/>
      <c r="V958" s="16"/>
      <c r="W958" s="16"/>
      <c r="X958" s="16"/>
      <c r="Y958" s="8"/>
    </row>
    <row r="959" spans="1:25" ht="15.75" customHeight="1">
      <c r="A959" s="16"/>
      <c r="B959" s="16"/>
      <c r="C959" s="16"/>
      <c r="D959" s="16"/>
      <c r="E959" s="16"/>
      <c r="F959" s="16"/>
      <c r="G959" s="16"/>
      <c r="H959" s="16"/>
      <c r="I959" s="16"/>
      <c r="J959" s="16"/>
      <c r="K959" s="16"/>
      <c r="L959" s="16"/>
      <c r="M959" s="16"/>
      <c r="N959" s="16"/>
      <c r="O959" s="16"/>
      <c r="P959" s="16"/>
      <c r="Q959" s="16"/>
      <c r="R959" s="16"/>
      <c r="S959" s="16"/>
      <c r="T959" s="16"/>
      <c r="U959" s="13"/>
      <c r="V959" s="16"/>
      <c r="W959" s="16"/>
      <c r="X959" s="16"/>
      <c r="Y959" s="8"/>
    </row>
    <row r="960" spans="1:25" ht="15.75" customHeight="1">
      <c r="A960" s="16"/>
      <c r="B960" s="16"/>
      <c r="C960" s="16"/>
      <c r="D960" s="16"/>
      <c r="E960" s="16"/>
      <c r="F960" s="16"/>
      <c r="G960" s="16"/>
      <c r="H960" s="16"/>
      <c r="I960" s="16"/>
      <c r="J960" s="16"/>
      <c r="K960" s="16"/>
      <c r="L960" s="16"/>
      <c r="M960" s="16"/>
      <c r="N960" s="16"/>
      <c r="O960" s="16"/>
      <c r="P960" s="16"/>
      <c r="Q960" s="16"/>
      <c r="R960" s="16"/>
      <c r="S960" s="16"/>
      <c r="T960" s="16"/>
      <c r="U960" s="13"/>
      <c r="V960" s="16"/>
      <c r="W960" s="16"/>
      <c r="X960" s="16"/>
      <c r="Y960" s="8"/>
    </row>
    <row r="961" spans="1:25" ht="15.75" customHeight="1">
      <c r="A961" s="16"/>
      <c r="B961" s="16"/>
      <c r="C961" s="16"/>
      <c r="D961" s="16"/>
      <c r="E961" s="16"/>
      <c r="F961" s="16"/>
      <c r="G961" s="16"/>
      <c r="H961" s="16"/>
      <c r="I961" s="16"/>
      <c r="J961" s="16"/>
      <c r="K961" s="16"/>
      <c r="L961" s="16"/>
      <c r="M961" s="16"/>
      <c r="N961" s="16"/>
      <c r="O961" s="16"/>
      <c r="P961" s="16"/>
      <c r="Q961" s="16"/>
      <c r="R961" s="16"/>
      <c r="S961" s="16"/>
      <c r="T961" s="16"/>
      <c r="U961" s="13"/>
      <c r="V961" s="16"/>
      <c r="W961" s="16"/>
      <c r="X961" s="16"/>
      <c r="Y961" s="8"/>
    </row>
    <row r="962" spans="1:25" ht="15.75" customHeight="1">
      <c r="A962" s="16"/>
      <c r="B962" s="16"/>
      <c r="C962" s="16"/>
      <c r="D962" s="16"/>
      <c r="E962" s="16"/>
      <c r="F962" s="16"/>
      <c r="G962" s="16"/>
      <c r="H962" s="16"/>
      <c r="I962" s="16"/>
      <c r="J962" s="16"/>
      <c r="K962" s="16"/>
      <c r="L962" s="16"/>
      <c r="M962" s="16"/>
      <c r="N962" s="16"/>
      <c r="O962" s="16"/>
      <c r="P962" s="16"/>
      <c r="Q962" s="16"/>
      <c r="R962" s="16"/>
      <c r="S962" s="16"/>
      <c r="T962" s="16"/>
      <c r="U962" s="13"/>
      <c r="V962" s="16"/>
      <c r="W962" s="16"/>
      <c r="X962" s="16"/>
      <c r="Y962" s="8"/>
    </row>
    <row r="963" spans="1:25" ht="15.75" customHeight="1">
      <c r="A963" s="16"/>
      <c r="B963" s="16"/>
      <c r="C963" s="16"/>
      <c r="D963" s="16"/>
      <c r="E963" s="16"/>
      <c r="F963" s="16"/>
      <c r="G963" s="16"/>
      <c r="H963" s="16"/>
      <c r="I963" s="16"/>
      <c r="J963" s="16"/>
      <c r="K963" s="16"/>
      <c r="L963" s="16"/>
      <c r="M963" s="16"/>
      <c r="N963" s="16"/>
      <c r="O963" s="16"/>
      <c r="P963" s="16"/>
      <c r="Q963" s="16"/>
      <c r="R963" s="16"/>
      <c r="S963" s="16"/>
      <c r="T963" s="16"/>
      <c r="U963" s="13"/>
      <c r="V963" s="16"/>
      <c r="W963" s="16"/>
      <c r="X963" s="16"/>
      <c r="Y963" s="8"/>
    </row>
    <row r="964" spans="1:25" ht="15.75" customHeight="1">
      <c r="A964" s="16"/>
      <c r="B964" s="16"/>
      <c r="C964" s="16"/>
      <c r="D964" s="16"/>
      <c r="E964" s="16"/>
      <c r="F964" s="16"/>
      <c r="G964" s="16"/>
      <c r="H964" s="16"/>
      <c r="I964" s="16"/>
      <c r="J964" s="16"/>
      <c r="K964" s="16"/>
      <c r="L964" s="16"/>
      <c r="M964" s="16"/>
      <c r="N964" s="16"/>
      <c r="O964" s="16"/>
      <c r="P964" s="16"/>
      <c r="Q964" s="16"/>
      <c r="R964" s="16"/>
      <c r="S964" s="16"/>
      <c r="T964" s="16"/>
      <c r="U964" s="13"/>
      <c r="V964" s="16"/>
      <c r="W964" s="16"/>
      <c r="X964" s="16"/>
      <c r="Y964" s="8"/>
    </row>
    <row r="965" spans="1:25" ht="15.75" customHeight="1">
      <c r="A965" s="16"/>
      <c r="B965" s="16"/>
      <c r="C965" s="16"/>
      <c r="D965" s="16"/>
      <c r="E965" s="16"/>
      <c r="F965" s="16"/>
      <c r="G965" s="16"/>
      <c r="H965" s="16"/>
      <c r="I965" s="16"/>
      <c r="J965" s="16"/>
      <c r="K965" s="16"/>
      <c r="L965" s="16"/>
      <c r="M965" s="16"/>
      <c r="N965" s="16"/>
      <c r="O965" s="16"/>
      <c r="P965" s="16"/>
      <c r="Q965" s="16"/>
      <c r="R965" s="16"/>
      <c r="S965" s="16"/>
      <c r="T965" s="16"/>
      <c r="U965" s="13"/>
      <c r="V965" s="16"/>
      <c r="W965" s="16"/>
      <c r="X965" s="16"/>
      <c r="Y965" s="8"/>
    </row>
    <row r="966" spans="1:25" ht="15.75" customHeight="1">
      <c r="A966" s="16"/>
      <c r="B966" s="16"/>
      <c r="C966" s="16"/>
      <c r="D966" s="16"/>
      <c r="E966" s="16"/>
      <c r="F966" s="16"/>
      <c r="G966" s="16"/>
      <c r="H966" s="16"/>
      <c r="I966" s="16"/>
      <c r="J966" s="16"/>
      <c r="K966" s="16"/>
      <c r="L966" s="16"/>
      <c r="M966" s="16"/>
      <c r="N966" s="16"/>
      <c r="O966" s="16"/>
      <c r="P966" s="16"/>
      <c r="Q966" s="16"/>
      <c r="R966" s="16"/>
      <c r="S966" s="16"/>
      <c r="T966" s="16"/>
      <c r="U966" s="13"/>
      <c r="V966" s="16"/>
      <c r="W966" s="16"/>
      <c r="X966" s="16"/>
      <c r="Y966" s="8"/>
    </row>
    <row r="967" spans="1:25" ht="15.75" customHeight="1">
      <c r="A967" s="16"/>
      <c r="B967" s="16"/>
      <c r="C967" s="16"/>
      <c r="D967" s="16"/>
      <c r="E967" s="16"/>
      <c r="F967" s="16"/>
      <c r="G967" s="16"/>
      <c r="H967" s="16"/>
      <c r="I967" s="16"/>
      <c r="J967" s="16"/>
      <c r="K967" s="16"/>
      <c r="L967" s="16"/>
      <c r="M967" s="16"/>
      <c r="N967" s="16"/>
      <c r="O967" s="16"/>
      <c r="P967" s="16"/>
      <c r="Q967" s="16"/>
      <c r="R967" s="16"/>
      <c r="S967" s="16"/>
      <c r="T967" s="16"/>
      <c r="U967" s="13"/>
      <c r="V967" s="16"/>
      <c r="W967" s="16"/>
      <c r="X967" s="16"/>
      <c r="Y967" s="8"/>
    </row>
    <row r="968" spans="1:25" ht="15.75" customHeight="1">
      <c r="A968" s="16"/>
      <c r="B968" s="16"/>
      <c r="C968" s="16"/>
      <c r="D968" s="16"/>
      <c r="E968" s="16"/>
      <c r="F968" s="16"/>
      <c r="G968" s="16"/>
      <c r="H968" s="16"/>
      <c r="I968" s="16"/>
      <c r="J968" s="16"/>
      <c r="K968" s="16"/>
      <c r="L968" s="16"/>
      <c r="M968" s="16"/>
      <c r="N968" s="16"/>
      <c r="O968" s="16"/>
      <c r="P968" s="16"/>
      <c r="Q968" s="16"/>
      <c r="R968" s="16"/>
      <c r="S968" s="16"/>
      <c r="T968" s="16"/>
      <c r="U968" s="13"/>
      <c r="V968" s="16"/>
      <c r="W968" s="16"/>
      <c r="X968" s="16"/>
      <c r="Y968" s="8"/>
    </row>
    <row r="969" spans="1:25" ht="15.75" customHeight="1">
      <c r="A969" s="16"/>
      <c r="B969" s="16"/>
      <c r="C969" s="16"/>
      <c r="D969" s="16"/>
      <c r="E969" s="16"/>
      <c r="F969" s="16"/>
      <c r="G969" s="16"/>
      <c r="H969" s="16"/>
      <c r="I969" s="16"/>
      <c r="J969" s="16"/>
      <c r="K969" s="16"/>
      <c r="L969" s="16"/>
      <c r="M969" s="16"/>
      <c r="N969" s="16"/>
      <c r="O969" s="16"/>
      <c r="P969" s="16"/>
      <c r="Q969" s="16"/>
      <c r="R969" s="16"/>
      <c r="S969" s="16"/>
      <c r="T969" s="16"/>
      <c r="U969" s="13"/>
      <c r="V969" s="16"/>
      <c r="W969" s="16"/>
      <c r="X969" s="16"/>
      <c r="Y969" s="8"/>
    </row>
    <row r="970" spans="1:25" ht="15.75" customHeight="1">
      <c r="A970" s="16"/>
      <c r="B970" s="16"/>
      <c r="C970" s="16"/>
      <c r="D970" s="16"/>
      <c r="E970" s="16"/>
      <c r="F970" s="16"/>
      <c r="G970" s="16"/>
      <c r="H970" s="16"/>
      <c r="I970" s="16"/>
      <c r="J970" s="16"/>
      <c r="K970" s="16"/>
      <c r="L970" s="16"/>
      <c r="M970" s="16"/>
      <c r="N970" s="16"/>
      <c r="O970" s="16"/>
      <c r="P970" s="16"/>
      <c r="Q970" s="16"/>
      <c r="R970" s="16"/>
      <c r="S970" s="16"/>
      <c r="T970" s="16"/>
      <c r="U970" s="13"/>
      <c r="V970" s="16"/>
      <c r="W970" s="16"/>
      <c r="X970" s="16"/>
      <c r="Y970" s="8"/>
    </row>
    <row r="971" spans="1:25" ht="15.75" customHeight="1">
      <c r="A971" s="16"/>
      <c r="B971" s="16"/>
      <c r="C971" s="16"/>
      <c r="D971" s="16"/>
      <c r="E971" s="16"/>
      <c r="F971" s="16"/>
      <c r="G971" s="16"/>
      <c r="H971" s="16"/>
      <c r="I971" s="16"/>
      <c r="J971" s="16"/>
      <c r="K971" s="16"/>
      <c r="L971" s="16"/>
      <c r="M971" s="16"/>
      <c r="N971" s="16"/>
      <c r="O971" s="16"/>
      <c r="P971" s="16"/>
      <c r="Q971" s="16"/>
      <c r="R971" s="16"/>
      <c r="S971" s="16"/>
      <c r="T971" s="16"/>
      <c r="U971" s="13"/>
      <c r="V971" s="16"/>
      <c r="W971" s="16"/>
      <c r="X971" s="16"/>
      <c r="Y971" s="8"/>
    </row>
    <row r="972" spans="1:25" ht="15.75" customHeight="1">
      <c r="A972" s="16"/>
      <c r="B972" s="16"/>
      <c r="C972" s="16"/>
      <c r="D972" s="16"/>
      <c r="E972" s="16"/>
      <c r="F972" s="16"/>
      <c r="G972" s="16"/>
      <c r="H972" s="16"/>
      <c r="I972" s="16"/>
      <c r="J972" s="16"/>
      <c r="K972" s="16"/>
      <c r="L972" s="16"/>
      <c r="M972" s="16"/>
      <c r="N972" s="16"/>
      <c r="O972" s="16"/>
      <c r="P972" s="16"/>
      <c r="Q972" s="16"/>
      <c r="R972" s="16"/>
      <c r="S972" s="16"/>
      <c r="T972" s="16"/>
      <c r="U972" s="13"/>
      <c r="V972" s="16"/>
      <c r="W972" s="16"/>
      <c r="X972" s="16"/>
      <c r="Y972" s="8"/>
    </row>
    <row r="973" spans="1:25" ht="15.75">
      <c r="U973" s="13"/>
    </row>
    <row r="974" spans="1:25" ht="15.75">
      <c r="U974" s="13"/>
    </row>
    <row r="975" spans="1:25" ht="15.75">
      <c r="U975" s="13"/>
    </row>
    <row r="976" spans="1:25" ht="15.75">
      <c r="U976" s="13"/>
    </row>
    <row r="977" spans="21:21" ht="15.75">
      <c r="U977" s="13"/>
    </row>
    <row r="978" spans="21:21" ht="15.75">
      <c r="U978" s="13"/>
    </row>
    <row r="979" spans="21:21" ht="15.75">
      <c r="U979" s="13"/>
    </row>
    <row r="980" spans="21:21" ht="15.75">
      <c r="U980" s="13"/>
    </row>
    <row r="981" spans="21:21" ht="15.75">
      <c r="U981" s="13"/>
    </row>
    <row r="982" spans="21:21" ht="15.75">
      <c r="U982" s="13"/>
    </row>
    <row r="983" spans="21:21" ht="15.75">
      <c r="U983" s="13"/>
    </row>
    <row r="984" spans="21:21" ht="15.75">
      <c r="U984" s="13"/>
    </row>
    <row r="985" spans="21:21" ht="15.75">
      <c r="U985" s="13"/>
    </row>
    <row r="986" spans="21:21" ht="15.75">
      <c r="U986" s="13"/>
    </row>
    <row r="987" spans="21:21" ht="15.75">
      <c r="U987" s="13"/>
    </row>
    <row r="988" spans="21:21" ht="15.75">
      <c r="U988" s="13"/>
    </row>
    <row r="989" spans="21:21" ht="15.75">
      <c r="U989" s="13"/>
    </row>
    <row r="990" spans="21:21" ht="15.75">
      <c r="U990" s="13"/>
    </row>
    <row r="991" spans="21:21" ht="15.75">
      <c r="U991" s="13"/>
    </row>
    <row r="992" spans="21:21" ht="15.75">
      <c r="U992" s="13"/>
    </row>
    <row r="993" spans="21:21" ht="15.75">
      <c r="U993" s="13"/>
    </row>
    <row r="994" spans="21:21" ht="15.75">
      <c r="U994" s="13"/>
    </row>
    <row r="995" spans="21:21" ht="15.75">
      <c r="U995" s="13"/>
    </row>
    <row r="996" spans="21:21" ht="15.75">
      <c r="U996" s="13"/>
    </row>
    <row r="997" spans="21:21" ht="15.75">
      <c r="U997" s="13"/>
    </row>
    <row r="998" spans="21:21" ht="15.75">
      <c r="U998" s="13"/>
    </row>
    <row r="999" spans="21:21" ht="15.75">
      <c r="U999" s="13"/>
    </row>
    <row r="1000" spans="21:21" ht="15.75">
      <c r="U1000" s="13"/>
    </row>
  </sheetData>
  <mergeCells count="97">
    <mergeCell ref="B216:D216"/>
    <mergeCell ref="A217:D217"/>
    <mergeCell ref="A159:A216"/>
    <mergeCell ref="C159:C162"/>
    <mergeCell ref="A135:A158"/>
    <mergeCell ref="B135:B136"/>
    <mergeCell ref="B138:B144"/>
    <mergeCell ref="B145:B146"/>
    <mergeCell ref="B147:B149"/>
    <mergeCell ref="B150:B153"/>
    <mergeCell ref="B158:D158"/>
    <mergeCell ref="B173:B179"/>
    <mergeCell ref="C173:C179"/>
    <mergeCell ref="B180:B183"/>
    <mergeCell ref="C180:C183"/>
    <mergeCell ref="B184:B186"/>
    <mergeCell ref="C184:C186"/>
    <mergeCell ref="B187:B192"/>
    <mergeCell ref="B202:B203"/>
    <mergeCell ref="C202:C203"/>
    <mergeCell ref="B204:B206"/>
    <mergeCell ref="C204:C206"/>
    <mergeCell ref="C187:C192"/>
    <mergeCell ref="B194:B199"/>
    <mergeCell ref="C194:C199"/>
    <mergeCell ref="B200:B201"/>
    <mergeCell ref="C200:C201"/>
    <mergeCell ref="C135:C136"/>
    <mergeCell ref="C138:C144"/>
    <mergeCell ref="C145:C146"/>
    <mergeCell ref="C147:C149"/>
    <mergeCell ref="C150:C153"/>
    <mergeCell ref="B159:B162"/>
    <mergeCell ref="B163:B167"/>
    <mergeCell ref="C163:C167"/>
    <mergeCell ref="B168:B172"/>
    <mergeCell ref="C168:C172"/>
    <mergeCell ref="B106:B110"/>
    <mergeCell ref="A69:A93"/>
    <mergeCell ref="B70:B74"/>
    <mergeCell ref="C70:C74"/>
    <mergeCell ref="C75:C78"/>
    <mergeCell ref="A94:A134"/>
    <mergeCell ref="B131:B132"/>
    <mergeCell ref="C131:C132"/>
    <mergeCell ref="B134:D134"/>
    <mergeCell ref="B128:B130"/>
    <mergeCell ref="C128:C130"/>
    <mergeCell ref="C106:C110"/>
    <mergeCell ref="B79:B85"/>
    <mergeCell ref="C79:C85"/>
    <mergeCell ref="B86:B89"/>
    <mergeCell ref="C86:C89"/>
    <mergeCell ref="B75:B78"/>
    <mergeCell ref="B94:B103"/>
    <mergeCell ref="C94:C103"/>
    <mergeCell ref="B104:B105"/>
    <mergeCell ref="C104:C105"/>
    <mergeCell ref="B93:D93"/>
    <mergeCell ref="B119:B120"/>
    <mergeCell ref="C119:C120"/>
    <mergeCell ref="B122:B125"/>
    <mergeCell ref="C122:C125"/>
    <mergeCell ref="B111:B113"/>
    <mergeCell ref="C111:C113"/>
    <mergeCell ref="B114:B118"/>
    <mergeCell ref="C114:C118"/>
    <mergeCell ref="A6:A68"/>
    <mergeCell ref="B6:B23"/>
    <mergeCell ref="C6:C23"/>
    <mergeCell ref="B24:B25"/>
    <mergeCell ref="C24:C25"/>
    <mergeCell ref="B68:D68"/>
    <mergeCell ref="B47:B56"/>
    <mergeCell ref="C47:C56"/>
    <mergeCell ref="B57:B66"/>
    <mergeCell ref="C57:C66"/>
    <mergeCell ref="B40:B46"/>
    <mergeCell ref="C40:C46"/>
    <mergeCell ref="B26:B36"/>
    <mergeCell ref="C26:C36"/>
    <mergeCell ref="B37:B39"/>
    <mergeCell ref="C37:C39"/>
    <mergeCell ref="L4:M4"/>
    <mergeCell ref="N4:Q4"/>
    <mergeCell ref="R4:S4"/>
    <mergeCell ref="X3:Y3"/>
    <mergeCell ref="A4:A5"/>
    <mergeCell ref="B4:B5"/>
    <mergeCell ref="C4:C5"/>
    <mergeCell ref="D4:D5"/>
    <mergeCell ref="E4:E5"/>
    <mergeCell ref="H4:K4"/>
    <mergeCell ref="F4:G4"/>
    <mergeCell ref="Y4:Y5"/>
    <mergeCell ref="T4:U4"/>
    <mergeCell ref="V4:W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sheetPr>
    <outlinePr summaryBelow="0" summaryRight="0"/>
  </sheetPr>
  <dimension ref="A1:Z972"/>
  <sheetViews>
    <sheetView workbookViewId="0">
      <pane xSplit="5" ySplit="5" topLeftCell="P6" activePane="bottomRight" state="frozen"/>
      <selection pane="topRight" activeCell="F1" sqref="F1"/>
      <selection pane="bottomLeft" activeCell="A6" sqref="A6"/>
      <selection pane="bottomRight" activeCell="W24" sqref="W24"/>
    </sheetView>
  </sheetViews>
  <sheetFormatPr defaultColWidth="14.42578125" defaultRowHeight="15" customHeight="1"/>
  <cols>
    <col min="1" max="1" width="5.140625" style="24" customWidth="1"/>
    <col min="2" max="2" width="5.7109375" style="24" customWidth="1"/>
    <col min="3" max="3" width="6.42578125" style="24" customWidth="1"/>
    <col min="4" max="4" width="7.140625" style="24" customWidth="1"/>
    <col min="5" max="5" width="23" style="24" customWidth="1"/>
    <col min="6" max="6" width="9.28515625" style="24" customWidth="1"/>
    <col min="7" max="7" width="10.28515625" style="24" customWidth="1"/>
    <col min="8" max="8" width="10.42578125" style="24" customWidth="1"/>
    <col min="9" max="9" width="8" style="24" customWidth="1"/>
    <col min="10" max="10" width="12.7109375" style="24" customWidth="1"/>
    <col min="11" max="11" width="9.28515625" style="24" customWidth="1"/>
    <col min="12" max="12" width="10.5703125" style="24" customWidth="1"/>
    <col min="13" max="13" width="12.28515625" style="24" customWidth="1"/>
    <col min="14" max="14" width="9.140625" style="24" customWidth="1"/>
    <col min="15" max="15" width="15.28515625" style="24" customWidth="1"/>
    <col min="16" max="16" width="9.28515625" style="24" customWidth="1"/>
    <col min="17" max="17" width="20.28515625" style="24" customWidth="1"/>
    <col min="18" max="18" width="11.85546875" style="24" customWidth="1"/>
    <col min="19" max="19" width="11.42578125" style="24" customWidth="1"/>
    <col min="20" max="20" width="13" style="24" customWidth="1"/>
    <col min="21" max="21" width="28.140625" style="24" customWidth="1"/>
    <col min="22" max="22" width="9.85546875" style="24" customWidth="1"/>
    <col min="23" max="23" width="23" style="24" customWidth="1"/>
    <col min="24" max="24" width="14.85546875" style="24" customWidth="1"/>
    <col min="25" max="25" width="32.140625" style="455" customWidth="1"/>
    <col min="26" max="16384" width="14.42578125" style="24"/>
  </cols>
  <sheetData>
    <row r="1" spans="1:25" ht="24" customHeight="1">
      <c r="A1" s="35" t="s">
        <v>443</v>
      </c>
      <c r="B1" s="36"/>
      <c r="C1" s="36"/>
      <c r="D1" s="36"/>
      <c r="E1" s="37" t="s">
        <v>0</v>
      </c>
      <c r="F1" s="37"/>
      <c r="G1" s="37"/>
      <c r="H1" s="37"/>
      <c r="I1" s="37"/>
      <c r="J1" s="37"/>
      <c r="K1" s="37"/>
      <c r="L1" s="37"/>
      <c r="M1" s="38"/>
      <c r="N1" s="38"/>
      <c r="O1" s="38"/>
      <c r="P1" s="38"/>
      <c r="Q1" s="38"/>
      <c r="R1" s="38"/>
      <c r="S1" s="38"/>
      <c r="T1" s="38"/>
      <c r="U1" s="38"/>
      <c r="V1" s="38"/>
      <c r="W1" s="38"/>
      <c r="X1" s="38"/>
      <c r="Y1" s="39"/>
    </row>
    <row r="2" spans="1:25" ht="22.5" hidden="1" customHeight="1">
      <c r="A2" s="38"/>
      <c r="B2" s="38"/>
      <c r="C2" s="38"/>
      <c r="D2" s="38"/>
      <c r="E2" s="38"/>
      <c r="F2" s="38"/>
      <c r="G2" s="38"/>
      <c r="H2" s="38"/>
      <c r="I2" s="38"/>
      <c r="J2" s="38"/>
      <c r="K2" s="38"/>
      <c r="L2" s="38"/>
      <c r="M2" s="38"/>
      <c r="N2" s="38"/>
      <c r="O2" s="38"/>
      <c r="P2" s="38"/>
      <c r="Q2" s="38"/>
      <c r="R2" s="38"/>
      <c r="S2" s="38"/>
      <c r="T2" s="38"/>
      <c r="U2" s="38"/>
      <c r="V2" s="38"/>
      <c r="W2" s="38"/>
      <c r="X2" s="38"/>
      <c r="Y2" s="39"/>
    </row>
    <row r="3" spans="1:25" ht="33" hidden="1" customHeight="1">
      <c r="A3" s="38"/>
      <c r="B3" s="40"/>
      <c r="C3" s="40"/>
      <c r="D3" s="40"/>
      <c r="E3" s="40"/>
      <c r="F3" s="40"/>
      <c r="G3" s="40"/>
      <c r="H3" s="40"/>
      <c r="I3" s="40"/>
      <c r="J3" s="40"/>
      <c r="K3" s="40"/>
      <c r="L3" s="40"/>
      <c r="M3" s="40"/>
      <c r="N3" s="40"/>
      <c r="O3" s="40"/>
      <c r="P3" s="40"/>
      <c r="Q3" s="40"/>
      <c r="R3" s="40"/>
      <c r="S3" s="40"/>
      <c r="T3" s="40"/>
      <c r="U3" s="40"/>
      <c r="V3" s="40"/>
      <c r="W3" s="41"/>
      <c r="X3" s="491" t="s">
        <v>2</v>
      </c>
      <c r="Y3" s="492"/>
    </row>
    <row r="4" spans="1:25" ht="40.5" customHeight="1">
      <c r="A4" s="495" t="s">
        <v>3</v>
      </c>
      <c r="B4" s="495" t="s">
        <v>4</v>
      </c>
      <c r="C4" s="495" t="s">
        <v>5</v>
      </c>
      <c r="D4" s="495" t="s">
        <v>6</v>
      </c>
      <c r="E4" s="495" t="s">
        <v>7</v>
      </c>
      <c r="F4" s="488" t="s">
        <v>8</v>
      </c>
      <c r="G4" s="490"/>
      <c r="H4" s="488" t="s">
        <v>9</v>
      </c>
      <c r="I4" s="489"/>
      <c r="J4" s="489"/>
      <c r="K4" s="490"/>
      <c r="L4" s="488" t="s">
        <v>10</v>
      </c>
      <c r="M4" s="490"/>
      <c r="N4" s="488" t="s">
        <v>11</v>
      </c>
      <c r="O4" s="489"/>
      <c r="P4" s="489"/>
      <c r="Q4" s="490"/>
      <c r="R4" s="488" t="s">
        <v>12</v>
      </c>
      <c r="S4" s="490"/>
      <c r="T4" s="488" t="s">
        <v>13</v>
      </c>
      <c r="U4" s="490"/>
      <c r="V4" s="488" t="s">
        <v>14</v>
      </c>
      <c r="W4" s="490"/>
      <c r="X4" s="42" t="s">
        <v>15</v>
      </c>
      <c r="Y4" s="495" t="s">
        <v>16</v>
      </c>
    </row>
    <row r="5" spans="1:25" ht="45" customHeight="1">
      <c r="A5" s="496"/>
      <c r="B5" s="496"/>
      <c r="C5" s="496"/>
      <c r="D5" s="496"/>
      <c r="E5" s="496"/>
      <c r="F5" s="42" t="s">
        <v>17</v>
      </c>
      <c r="G5" s="42" t="s">
        <v>16</v>
      </c>
      <c r="H5" s="42" t="s">
        <v>18</v>
      </c>
      <c r="I5" s="42" t="s">
        <v>19</v>
      </c>
      <c r="J5" s="42" t="s">
        <v>20</v>
      </c>
      <c r="K5" s="42" t="s">
        <v>16</v>
      </c>
      <c r="L5" s="42" t="s">
        <v>17</v>
      </c>
      <c r="M5" s="42" t="s">
        <v>16</v>
      </c>
      <c r="N5" s="42" t="s">
        <v>1199</v>
      </c>
      <c r="O5" s="42" t="s">
        <v>21</v>
      </c>
      <c r="P5" s="42" t="s">
        <v>22</v>
      </c>
      <c r="Q5" s="42" t="s">
        <v>16</v>
      </c>
      <c r="R5" s="42" t="s">
        <v>17</v>
      </c>
      <c r="S5" s="42" t="s">
        <v>16</v>
      </c>
      <c r="T5" s="42" t="s">
        <v>17</v>
      </c>
      <c r="U5" s="42" t="s">
        <v>16</v>
      </c>
      <c r="V5" s="42" t="s">
        <v>17</v>
      </c>
      <c r="W5" s="42" t="s">
        <v>16</v>
      </c>
      <c r="X5" s="42" t="s">
        <v>23</v>
      </c>
      <c r="Y5" s="517"/>
    </row>
    <row r="6" spans="1:25" ht="47.25" customHeight="1">
      <c r="A6" s="499" t="s">
        <v>24</v>
      </c>
      <c r="B6" s="497" t="s">
        <v>25</v>
      </c>
      <c r="C6" s="497" t="s">
        <v>26</v>
      </c>
      <c r="D6" s="43">
        <v>1</v>
      </c>
      <c r="E6" s="44" t="s">
        <v>27</v>
      </c>
      <c r="F6" s="21">
        <f>TVM!F6+KLM!F6+PTA!F6+ALP!F6+KTM!F6+IDK!F6+EKM!F6+TSR!F6+PLKD!F6+MLPM!F6+KKD!F6+WYND!F6+KNR!F6+KSRGD!F6+SHS!F6</f>
        <v>0</v>
      </c>
      <c r="G6" s="21"/>
      <c r="H6" s="21">
        <f>TVM!H6+KLM!H6+PTA!H6+ALP!H6+KTM!H6+IDK!H6+EKM!H6+TSR!H6+PLKD!H6+MLPM!H6+KKD!H6+WYND!H6+KNR!H6+KSRGD!H6+SHS!H6</f>
        <v>0</v>
      </c>
      <c r="I6" s="21">
        <f>TVM!I6+KLM!I6+PTA!I6+ALP!I6+KTM!I6+IDK!I6+EKM!I6+TSR!I6+PLKD!I6+MLPM!I6+KKD!I6+WYND!I6+KNR!I6+KSRGD!I6+SHS!I6</f>
        <v>0</v>
      </c>
      <c r="J6" s="21">
        <f>TVM!J6+KLM!J6+PTA!J6+ALP!J6+KTM!J6+IDK!J6+EKM!J6+TSR!J6+PLKD!J6+MLPM!J6+KKD!J6+WYND!J6+KNR!J6+KSRGD!J6+SHS!J6</f>
        <v>0</v>
      </c>
      <c r="K6" s="21"/>
      <c r="L6" s="21">
        <f>TVM!L6+KLM!L6+PTA!L6+ALP!L6+KTM!L6+IDK!L6+EKM!L6+TSR!L6+PLKD!L6+MLPM!L6+KKD!L6+WYND!L6+KNR!L6+KSRGD!L6+SHS!L6</f>
        <v>0</v>
      </c>
      <c r="M6" s="21"/>
      <c r="N6" s="21">
        <f>TVM!N6+KLM!N6+PTA!N6+ALP!N6+KTM!N6+IDK!N6+EKM!N6+TSR!N6+PLKD!N6+MLPM!N6+KKD!N6+WYND!N6+KNR!N6+KSRGD!N6+SHS!N6</f>
        <v>0</v>
      </c>
      <c r="O6" s="21">
        <f>TVM!O6+KLM!O6+PTA!O6+ALP!O6+KTM!O6+IDK!O6+EKM!O6+TSR!O6+PLKD!O6+MLPM!O6+KKD!O6+WYND!O6+KNR!O6+KSRGD!O6+SHS!O6</f>
        <v>0</v>
      </c>
      <c r="P6" s="21">
        <f>TVM!P6+KLM!P6+PTA!P6+ALP!P6+KTM!P6+IDK!P6+EKM!P6+TSR!P6+PLKD!P6+MLPM!P6+KKD!P6+WYND!P6+KNR!P6+KSRGD!P6+SHS!P6</f>
        <v>0</v>
      </c>
      <c r="Q6" s="21"/>
      <c r="R6" s="21">
        <f>TVM!R6+KLM!R6+PTA!R6+ALP!R6+KTM!R6+IDK!R6+EKM!R6+TSR!R6+PLKD!R6+MLPM!R6+KKD!R6+WYND!R6+KNR!R6+KSRGD!R6+SHS!R6</f>
        <v>0</v>
      </c>
      <c r="S6" s="21"/>
      <c r="T6" s="45">
        <f>TVM!T6+KLM!T6+PTA!T6+ALP!T6+KTM!T6+IDK!T6+EKM!T6+TSR!T6+PLKD!T6+MLPM!T6+KKD!T6+WYND!T6+KNR!T6+KSRGD!T6+SHS!T6</f>
        <v>0</v>
      </c>
      <c r="U6" s="21"/>
      <c r="V6" s="21">
        <f>TVM!V6+KLM!V6+PTA!V6+ALP!V6+KTM!V6+IDK!V6+EKM!V6+TSR!V6+PLKD!V6+MLPM!V6+KKD!V6+WYND!V6+KNR!V6+KSRGD!V6+SHS!V6</f>
        <v>0</v>
      </c>
      <c r="W6" s="21"/>
      <c r="X6" s="22">
        <f t="shared" ref="X6:X67" si="0">F6+J6+L6+P6+R6+T6+V6</f>
        <v>0</v>
      </c>
      <c r="Y6" s="46"/>
    </row>
    <row r="7" spans="1:25" ht="91.5" customHeight="1">
      <c r="A7" s="498"/>
      <c r="B7" s="498"/>
      <c r="C7" s="498"/>
      <c r="D7" s="43">
        <v>2</v>
      </c>
      <c r="E7" s="47" t="s">
        <v>28</v>
      </c>
      <c r="F7" s="21">
        <f>TVM!F7+KLM!F7+PTA!F7+ALP!F7+KTM!F7+IDK!F7+EKM!F7+TSR!F7+PLKD!F7+MLPM!F7+KKD!F7+WYND!F7+KNR!F7+KSRGD!F7+SHS!F7</f>
        <v>0</v>
      </c>
      <c r="G7" s="21"/>
      <c r="H7" s="21">
        <f>TVM!H7+KLM!H7+PTA!H7+ALP!H7+KTM!H7+IDK!H7+EKM!H7+TSR!H7+PLKD!H7+MLPM!H7+KKD!H7+WYND!H7+KNR!H7+KSRGD!H7+SHS!H7</f>
        <v>0</v>
      </c>
      <c r="I7" s="21">
        <f>TVM!I7+KLM!I7+PTA!I7+ALP!I7+KTM!I7+IDK!I7+EKM!I7+TSR!I7+PLKD!I7+MLPM!I7+KKD!I7+WYND!I7+KNR!I7+KSRGD!I7+SHS!I7</f>
        <v>0</v>
      </c>
      <c r="J7" s="21">
        <f>TVM!J7+KLM!J7+PTA!J7+ALP!J7+KTM!J7+IDK!J7+EKM!J7+TSR!J7+PLKD!J7+MLPM!J7+KKD!J7+WYND!J7+KNR!J7+KSRGD!J7+SHS!J7</f>
        <v>0</v>
      </c>
      <c r="K7" s="21"/>
      <c r="L7" s="21">
        <f>TVM!L7+KLM!L7+PTA!L7+ALP!L7+KTM!L7+IDK!L7+EKM!L7+TSR!L7+PLKD!L7+MLPM!L7+KKD!L7+WYND!L7+KNR!L7+KSRGD!L7+SHS!L7</f>
        <v>0</v>
      </c>
      <c r="M7" s="21"/>
      <c r="N7" s="21">
        <f>TVM!N7+KLM!N7+PTA!N7+ALP!N7+KTM!N7+IDK!N7+EKM!N7+TSR!N7+PLKD!N7+MLPM!N7+KKD!N7+WYND!N7+KNR!N7+KSRGD!N7+SHS!N7</f>
        <v>0</v>
      </c>
      <c r="O7" s="22">
        <f>TVM!O7+KLM!O7+PTA!O7+ALP!O7+KTM!O7+IDK!O7+EKM!O7+TSR!O7+PLKD!O7+MLPM!O7+KKD!O7+WYND!O7+KNR!O7+KSRGD!O7+SHS!O7</f>
        <v>487.02578399999999</v>
      </c>
      <c r="P7" s="22">
        <f>TVM!P7+KLM!P7+PTA!P7+ALP!P7+KTM!P7+IDK!P7+EKM!P7+TSR!P7+PLKD!P7+MLPM!P7+KKD!P7+WYND!P7+KNR!P7+KSRGD!P7+SHS!P7</f>
        <v>487.02578399999999</v>
      </c>
      <c r="Q7" s="21"/>
      <c r="R7" s="21">
        <f>TVM!R7+KLM!R7+PTA!R7+ALP!R7+KTM!R7+IDK!R7+EKM!R7+TSR!R7+PLKD!R7+MLPM!R7+KKD!R7+WYND!R7+KNR!R7+KSRGD!R7+SHS!R7</f>
        <v>0</v>
      </c>
      <c r="S7" s="21"/>
      <c r="T7" s="45">
        <f>TVM!T7+KLM!T7+PTA!T7+ALP!T7+KTM!T7+IDK!T7+EKM!T7+TSR!T7+PLKD!T7+MLPM!T7+KKD!T7+WYND!T7+KNR!T7+KSRGD!T7+SHS!T7</f>
        <v>0</v>
      </c>
      <c r="U7" s="21"/>
      <c r="V7" s="21">
        <f>TVM!V7+KLM!V7+PTA!V7+ALP!V7+KTM!V7+IDK!V7+EKM!V7+TSR!V7+PLKD!V7+MLPM!V7+KKD!V7+WYND!V7+KNR!V7+KSRGD!V7+SHS!V7</f>
        <v>0</v>
      </c>
      <c r="W7" s="21"/>
      <c r="X7" s="22">
        <f t="shared" si="0"/>
        <v>487.02578399999999</v>
      </c>
      <c r="Y7" s="46" t="s">
        <v>410</v>
      </c>
    </row>
    <row r="8" spans="1:25" ht="171" customHeight="1">
      <c r="A8" s="498"/>
      <c r="B8" s="498"/>
      <c r="C8" s="498"/>
      <c r="D8" s="43">
        <v>3</v>
      </c>
      <c r="E8" s="43" t="s">
        <v>29</v>
      </c>
      <c r="F8" s="48">
        <f>(TVM!F8+KLM!F8+PTA!F8+ALP!F8+KTM!F8+IDK!F8+EKM!F8+TSR!F8+PLKD!F8+MLPM!F8+KKD!F8+WYND!F8+KNR!F8+KSRGD!F8+SHS!F8)</f>
        <v>613.30175000000008</v>
      </c>
      <c r="G8" s="21"/>
      <c r="H8" s="21">
        <f>TVM!H8+KLM!H8+PTA!H8+ALP!H8+KTM!H8+IDK!H8+EKM!H8+TSR!H8+PLKD!H8+MLPM!H8+KKD!H8+WYND!H8+KNR!H8+KSRGD!H8+SHS!H8</f>
        <v>0</v>
      </c>
      <c r="I8" s="21">
        <f>TVM!I8+KLM!I8+PTA!I8+ALP!I8+KTM!I8+IDK!I8+EKM!I8+TSR!I8+PLKD!I8+MLPM!I8+KKD!I8+WYND!I8+KNR!I8+KSRGD!I8+SHS!I8</f>
        <v>0</v>
      </c>
      <c r="J8" s="21">
        <f>TVM!J8+KLM!J8+PTA!J8+ALP!J8+KTM!J8+IDK!J8+EKM!J8+TSR!J8+PLKD!J8+MLPM!J8+KKD!J8+WYND!J8+KNR!J8+KSRGD!J8+SHS!J8</f>
        <v>0</v>
      </c>
      <c r="K8" s="21"/>
      <c r="L8" s="21">
        <f>TVM!L8+KLM!L8+PTA!L8+ALP!L8+KTM!L8+IDK!L8+EKM!L8+TSR!L8+PLKD!L8+MLPM!L8+KKD!L8+WYND!L8+KNR!L8+KSRGD!L8+SHS!L8</f>
        <v>0</v>
      </c>
      <c r="M8" s="21"/>
      <c r="N8" s="21">
        <f>TVM!N8+KLM!N8+PTA!N8+ALP!N8+KTM!N8+IDK!N8+EKM!N8+TSR!N8+PLKD!N8+MLPM!N8+KKD!N8+WYND!N8+KNR!N8+KSRGD!N8+SHS!N8</f>
        <v>0</v>
      </c>
      <c r="O8" s="21">
        <f>TVM!O8+KLM!O8+PTA!O8+ALP!O8+KTM!O8+IDK!O8+EKM!O8+TSR!O8+PLKD!O8+MLPM!O8+KKD!O8+WYND!O8+KNR!O8+KSRGD!O8+SHS!O8</f>
        <v>0</v>
      </c>
      <c r="P8" s="21">
        <f>TVM!P8+KLM!P8+PTA!P8+ALP!P8+KTM!P8+IDK!P8+EKM!P8+TSR!P8+PLKD!P8+MLPM!P8+KKD!P8+WYND!P8+KNR!P8+KSRGD!P8+SHS!P8</f>
        <v>0</v>
      </c>
      <c r="Q8" s="21"/>
      <c r="R8" s="21">
        <f>TVM!R8+KLM!R8+PTA!R8+ALP!R8+KTM!R8+IDK!R8+EKM!R8+TSR!R8+PLKD!R8+MLPM!R8+KKD!R8+WYND!R8+KNR!R8+KSRGD!R8+SHS!R8</f>
        <v>0</v>
      </c>
      <c r="S8" s="21"/>
      <c r="T8" s="45">
        <f>TVM!T8+KLM!T8+PTA!T8+ALP!T8+KTM!T8+IDK!T8+EKM!T8+TSR!T8+PLKD!T8+MLPM!T8+KKD!T8+WYND!T8+KNR!T8+KSRGD!T8+SHS!T8</f>
        <v>0</v>
      </c>
      <c r="U8" s="21"/>
      <c r="V8" s="21">
        <f>TVM!V8+KLM!V8+PTA!V8+ALP!V8+KTM!V8+IDK!V8+EKM!V8+TSR!V8+PLKD!V8+MLPM!V8+KKD!V8+WYND!V8+KNR!V8+KSRGD!V8+SHS!V8</f>
        <v>0</v>
      </c>
      <c r="W8" s="21"/>
      <c r="X8" s="22">
        <f t="shared" si="0"/>
        <v>613.30175000000008</v>
      </c>
      <c r="Y8" s="46" t="s">
        <v>444</v>
      </c>
    </row>
    <row r="9" spans="1:25" ht="409.5">
      <c r="A9" s="498"/>
      <c r="B9" s="498"/>
      <c r="C9" s="498"/>
      <c r="D9" s="43">
        <v>4</v>
      </c>
      <c r="E9" s="43" t="s">
        <v>30</v>
      </c>
      <c r="F9" s="21">
        <f>TVM!F9+KLM!F9+PTA!F9+ALP!F9+KTM!F9+IDK!F9+EKM!F9+TSR!F9+PLKD!F9+MLPM!F9+KKD!F9+WYND!F9+KNR!F9+KSRGD!F9+SHS!F9</f>
        <v>0</v>
      </c>
      <c r="G9" s="21"/>
      <c r="H9" s="21">
        <f>TVM!H9+KLM!H9+PTA!H9+ALP!H9+KTM!H9+IDK!H9+EKM!H9+TSR!H9+PLKD!H9+MLPM!H9+KKD!H9+WYND!H9+KNR!H9+KSRGD!H9+SHS!H9</f>
        <v>0</v>
      </c>
      <c r="I9" s="21">
        <f>TVM!I9+KLM!I9+PTA!I9+ALP!I9+KTM!I9+IDK!I9+EKM!I9+TSR!I9+PLKD!I9+MLPM!I9+KKD!I9+WYND!I9+KNR!I9+KSRGD!I9+SHS!I9</f>
        <v>0</v>
      </c>
      <c r="J9" s="21">
        <f>TVM!J9+KLM!J9+PTA!J9+ALP!J9+KTM!J9+IDK!J9+EKM!J9+TSR!J9+PLKD!J9+MLPM!J9+KKD!J9+WYND!J9+KNR!J9+KSRGD!J9+SHS!J9</f>
        <v>0</v>
      </c>
      <c r="K9" s="21"/>
      <c r="L9" s="21">
        <f>TVM!L9+KLM!L9+PTA!L9+ALP!L9+KTM!L9+IDK!L9+EKM!L9+TSR!L9+PLKD!L9+MLPM!L9+KKD!L9+WYND!L9+KNR!L9+KSRGD!L9+SHS!L9</f>
        <v>0</v>
      </c>
      <c r="M9" s="21"/>
      <c r="N9" s="21">
        <f>TVM!N9+KLM!N9+PTA!N9+ALP!N9+KTM!N9+IDK!N9+EKM!N9+TSR!N9+PLKD!N9+MLPM!N9+KKD!N9+WYND!N9+KNR!N9+KSRGD!N9+SHS!N9</f>
        <v>0</v>
      </c>
      <c r="O9" s="21">
        <f>TVM!O9+KLM!O9+PTA!O9+ALP!O9+KTM!O9+IDK!O9+EKM!O9+TSR!O9+PLKD!O9+MLPM!O9+KKD!O9+WYND!O9+KNR!O9+KSRGD!O9+SHS!O9</f>
        <v>814.02499999999986</v>
      </c>
      <c r="P9" s="21">
        <f>TVM!P9+KLM!P9+PTA!P9+ALP!P9+KTM!P9+IDK!P9+EKM!P9+TSR!P9+PLKD!P9+MLPM!P9+KKD!P9+WYND!P9+KNR!P9+KSRGD!P9+SHS!P9</f>
        <v>814.02499999999986</v>
      </c>
      <c r="Q9" s="23" t="s">
        <v>445</v>
      </c>
      <c r="R9" s="22">
        <f>TVM!R9+KLM!R9+PTA!R9+ALP!R9+KTM!R9+IDK!R9+EKM!R9+TSR!R9+PLKD!R9+MLPM!R9+KKD!R9+WYND!R9+KNR!R9+KSRGD!R9+SHS!R9</f>
        <v>914.68899999999985</v>
      </c>
      <c r="S9" s="23" t="s">
        <v>446</v>
      </c>
      <c r="T9" s="45">
        <f>TVM!T9+KLM!T9+PTA!T9+ALP!T9+KTM!T9+IDK!T9+EKM!T9+TSR!T9+PLKD!T9+MLPM!T9+KKD!T9+WYND!T9+KNR!T9+KSRGD!T9+SHS!T9</f>
        <v>1102.595</v>
      </c>
      <c r="U9" s="21"/>
      <c r="V9" s="21">
        <f>TVM!V9+KLM!V9+PTA!V9+ALP!V9+KTM!V9+IDK!V9+EKM!V9+TSR!V9+PLKD!V9+MLPM!V9+KKD!V9+WYND!V9+KNR!V9+KSRGD!V9+SHS!V9</f>
        <v>0</v>
      </c>
      <c r="W9" s="21"/>
      <c r="X9" s="22">
        <f t="shared" si="0"/>
        <v>2831.3089999999997</v>
      </c>
      <c r="Y9" s="46" t="s">
        <v>447</v>
      </c>
    </row>
    <row r="10" spans="1:25" ht="41.25" customHeight="1">
      <c r="A10" s="498"/>
      <c r="B10" s="498"/>
      <c r="C10" s="498"/>
      <c r="D10" s="43">
        <v>5</v>
      </c>
      <c r="E10" s="43" t="s">
        <v>31</v>
      </c>
      <c r="F10" s="21">
        <f>TVM!F10+KLM!F10+PTA!F10+ALP!F10+KTM!F10+IDK!F10+EKM!F10+TSR!F10+PLKD!F10+MLPM!F10+KKD!F10+WYND!F10+KNR!F10+KSRGD!F10+SHS!F10</f>
        <v>0</v>
      </c>
      <c r="G10" s="21"/>
      <c r="H10" s="21">
        <f>TVM!H10+KLM!H10+PTA!H10+ALP!H10+KTM!H10+IDK!H10+EKM!H10+TSR!H10+PLKD!H10+MLPM!H10+KKD!H10+WYND!H10+KNR!H10+KSRGD!H10+SHS!H10</f>
        <v>0</v>
      </c>
      <c r="I10" s="21">
        <f>TVM!I10+KLM!I10+PTA!I10+ALP!I10+KTM!I10+IDK!I10+EKM!I10+TSR!I10+PLKD!I10+MLPM!I10+KKD!I10+WYND!I10+KNR!I10+KSRGD!I10+SHS!I10</f>
        <v>0</v>
      </c>
      <c r="J10" s="21">
        <f>TVM!J10+KLM!J10+PTA!J10+ALP!J10+KTM!J10+IDK!J10+EKM!J10+TSR!J10+PLKD!J10+MLPM!J10+KKD!J10+WYND!J10+KNR!J10+KSRGD!J10+SHS!J10</f>
        <v>0</v>
      </c>
      <c r="K10" s="21"/>
      <c r="L10" s="21">
        <f>TVM!L10+KLM!L10+PTA!L10+ALP!L10+KTM!L10+IDK!L10+EKM!L10+TSR!L10+PLKD!L10+MLPM!L10+KKD!L10+WYND!L10+KNR!L10+KSRGD!L10+SHS!L10</f>
        <v>0</v>
      </c>
      <c r="M10" s="21"/>
      <c r="N10" s="21">
        <f>TVM!N10+KLM!N10+PTA!N10+ALP!N10+KTM!N10+IDK!N10+EKM!N10+TSR!N10+PLKD!N10+MLPM!N10+KKD!N10+WYND!N10+KNR!N10+KSRGD!N10+SHS!N10</f>
        <v>0</v>
      </c>
      <c r="O10" s="21">
        <f>TVM!O10+KLM!O10+PTA!O10+ALP!O10+KTM!O10+IDK!O10+EKM!O10+TSR!O10+PLKD!O10+MLPM!O10+KKD!O10+WYND!O10+KNR!O10+KSRGD!O10+SHS!O10</f>
        <v>0</v>
      </c>
      <c r="P10" s="21">
        <f>TVM!P10+KLM!P10+PTA!P10+ALP!P10+KTM!P10+IDK!P10+EKM!P10+TSR!P10+PLKD!P10+MLPM!P10+KKD!P10+WYND!P10+KNR!P10+KSRGD!P10+SHS!P10</f>
        <v>0</v>
      </c>
      <c r="Q10" s="23"/>
      <c r="R10" s="21">
        <f>TVM!R10+KLM!R10+PTA!R10+ALP!R10+KTM!R10+IDK!R10+EKM!R10+TSR!R10+PLKD!R10+MLPM!R10+KKD!R10+WYND!R10+KNR!R10+KSRGD!R10+SHS!R10</f>
        <v>0</v>
      </c>
      <c r="S10" s="21"/>
      <c r="T10" s="45">
        <f>TVM!T10+KLM!T10+PTA!T10+ALP!T10+KTM!T10+IDK!T10+EKM!T10+TSR!T10+PLKD!T10+MLPM!T10+KKD!T10+WYND!T10+KNR!T10+KSRGD!T10+SHS!T10</f>
        <v>631.92500000000007</v>
      </c>
      <c r="U10" s="23" t="s">
        <v>448</v>
      </c>
      <c r="V10" s="21">
        <f>TVM!V10+KLM!V10+PTA!V10+ALP!V10+KTM!V10+IDK!V10+EKM!V10+TSR!V10+PLKD!V10+MLPM!V10+KKD!V10+WYND!V10+KNR!V10+KSRGD!V10+SHS!V10</f>
        <v>0</v>
      </c>
      <c r="W10" s="21"/>
      <c r="X10" s="22">
        <f t="shared" si="0"/>
        <v>631.92500000000007</v>
      </c>
      <c r="Y10" s="46" t="s">
        <v>448</v>
      </c>
    </row>
    <row r="11" spans="1:25" ht="94.5">
      <c r="A11" s="498"/>
      <c r="B11" s="498"/>
      <c r="C11" s="498"/>
      <c r="D11" s="43">
        <v>6</v>
      </c>
      <c r="E11" s="43" t="s">
        <v>32</v>
      </c>
      <c r="F11" s="21">
        <f>TVM!F11+KLM!F11+PTA!F11+ALP!F11+KTM!F11+IDK!F11+EKM!F11+TSR!F11+PLKD!F11+MLPM!F11+KKD!F11+WYND!F11+KNR!F11+KSRGD!F11+SHS!F11</f>
        <v>16.21</v>
      </c>
      <c r="G11" s="21"/>
      <c r="H11" s="21">
        <f>TVM!H11+KLM!H11+PTA!H11+ALP!H11+KTM!H11+IDK!H11+EKM!H11+TSR!H11+PLKD!H11+MLPM!H11+KKD!H11+WYND!H11+KNR!H11+KSRGD!H11+SHS!H11</f>
        <v>0</v>
      </c>
      <c r="I11" s="21">
        <f>TVM!I11+KLM!I11+PTA!I11+ALP!I11+KTM!I11+IDK!I11+EKM!I11+TSR!I11+PLKD!I11+MLPM!I11+KKD!I11+WYND!I11+KNR!I11+KSRGD!I11+SHS!I11</f>
        <v>0</v>
      </c>
      <c r="J11" s="21">
        <f>TVM!J11+KLM!J11+PTA!J11+ALP!J11+KTM!J11+IDK!J11+EKM!J11+TSR!J11+PLKD!J11+MLPM!J11+KKD!J11+WYND!J11+KNR!J11+KSRGD!J11+SHS!J11</f>
        <v>0</v>
      </c>
      <c r="K11" s="21"/>
      <c r="L11" s="21">
        <f>TVM!L11+KLM!L11+PTA!L11+ALP!L11+KTM!L11+IDK!L11+EKM!L11+TSR!L11+PLKD!L11+MLPM!L11+KKD!L11+WYND!L11+KNR!L11+KSRGD!L11+SHS!L11</f>
        <v>0</v>
      </c>
      <c r="M11" s="21"/>
      <c r="N11" s="21">
        <f>TVM!N11+KLM!N11+PTA!N11+ALP!N11+KTM!N11+IDK!N11+EKM!N11+TSR!N11+PLKD!N11+MLPM!N11+KKD!N11+WYND!N11+KNR!N11+KSRGD!N11+SHS!N11</f>
        <v>0</v>
      </c>
      <c r="O11" s="21">
        <f>TVM!O11+KLM!O11+PTA!O11+ALP!O11+KTM!O11+IDK!O11+EKM!O11+TSR!O11+PLKD!O11+MLPM!O11+KKD!O11+WYND!O11+KNR!O11+KSRGD!O11+SHS!O11</f>
        <v>0</v>
      </c>
      <c r="P11" s="21">
        <f>TVM!P11+KLM!P11+PTA!P11+ALP!P11+KTM!P11+IDK!P11+EKM!P11+TSR!P11+PLKD!P11+MLPM!P11+KKD!P11+WYND!P11+KNR!P11+KSRGD!P11+SHS!P11</f>
        <v>0</v>
      </c>
      <c r="Q11" s="21"/>
      <c r="R11" s="21">
        <f>TVM!R11+KLM!R11+PTA!R11+ALP!R11+KTM!R11+IDK!R11+EKM!R11+TSR!R11+PLKD!R11+MLPM!R11+KKD!R11+WYND!R11+KNR!R11+KSRGD!R11+SHS!R11</f>
        <v>0</v>
      </c>
      <c r="S11" s="21"/>
      <c r="T11" s="45">
        <f>TVM!T11+KLM!T11+PTA!T11+ALP!T11+KTM!T11+IDK!T11+EKM!T11+TSR!T11+PLKD!T11+MLPM!T11+KKD!T11+WYND!T11+KNR!T11+KSRGD!T11+SHS!T11</f>
        <v>12.360000000000003</v>
      </c>
      <c r="U11" s="23" t="s">
        <v>449</v>
      </c>
      <c r="V11" s="21">
        <f>TVM!V11+KLM!V11+PTA!V11+ALP!V11+KTM!V11+IDK!V11+EKM!V11+TSR!V11+PLKD!V11+MLPM!V11+KKD!V11+WYND!V11+KNR!V11+KSRGD!V11+SHS!V11</f>
        <v>0</v>
      </c>
      <c r="W11" s="21"/>
      <c r="X11" s="22">
        <f t="shared" si="0"/>
        <v>28.570000000000004</v>
      </c>
      <c r="Y11" s="46" t="s">
        <v>450</v>
      </c>
    </row>
    <row r="12" spans="1:25" ht="31.5">
      <c r="A12" s="498"/>
      <c r="B12" s="498"/>
      <c r="C12" s="498"/>
      <c r="D12" s="43">
        <v>7</v>
      </c>
      <c r="E12" s="43" t="s">
        <v>33</v>
      </c>
      <c r="F12" s="21">
        <f>TVM!F12+KLM!F12+PTA!F12+ALP!F12+KTM!F12+IDK!F12+EKM!F12+TSR!F12+PLKD!F12+MLPM!F12+KKD!F12+WYND!F12+KNR!F12+KSRGD!F12+SHS!F12</f>
        <v>0</v>
      </c>
      <c r="G12" s="21"/>
      <c r="H12" s="21">
        <f>TVM!H12+KLM!H12+PTA!H12+ALP!H12+KTM!H12+IDK!H12+EKM!H12+TSR!H12+PLKD!H12+MLPM!H12+KKD!H12+WYND!H12+KNR!H12+KSRGD!H12+SHS!H12</f>
        <v>0</v>
      </c>
      <c r="I12" s="21">
        <f>TVM!I12+KLM!I12+PTA!I12+ALP!I12+KTM!I12+IDK!I12+EKM!I12+TSR!I12+PLKD!I12+MLPM!I12+KKD!I12+WYND!I12+KNR!I12+KSRGD!I12+SHS!I12</f>
        <v>0</v>
      </c>
      <c r="J12" s="21">
        <f>TVM!J12+KLM!J12+PTA!J12+ALP!J12+KTM!J12+IDK!J12+EKM!J12+TSR!J12+PLKD!J12+MLPM!J12+KKD!J12+WYND!J12+KNR!J12+KSRGD!J12+SHS!J12</f>
        <v>0</v>
      </c>
      <c r="K12" s="21"/>
      <c r="L12" s="21">
        <f>TVM!L12+KLM!L12+PTA!L12+ALP!L12+KTM!L12+IDK!L12+EKM!L12+TSR!L12+PLKD!L12+MLPM!L12+KKD!L12+WYND!L12+KNR!L12+KSRGD!L12+SHS!L12</f>
        <v>0</v>
      </c>
      <c r="M12" s="21"/>
      <c r="N12" s="21">
        <f>TVM!N12+KLM!N12+PTA!N12+ALP!N12+KTM!N12+IDK!N12+EKM!N12+TSR!N12+PLKD!N12+MLPM!N12+KKD!N12+WYND!N12+KNR!N12+KSRGD!N12+SHS!N12</f>
        <v>0</v>
      </c>
      <c r="O12" s="21">
        <f>TVM!O12+KLM!O12+PTA!O12+ALP!O12+KTM!O12+IDK!O12+EKM!O12+TSR!O12+PLKD!O12+MLPM!O12+KKD!O12+WYND!O12+KNR!O12+KSRGD!O12+SHS!O12</f>
        <v>0</v>
      </c>
      <c r="P12" s="21">
        <f>TVM!P12+KLM!P12+PTA!P12+ALP!P12+KTM!P12+IDK!P12+EKM!P12+TSR!P12+PLKD!P12+MLPM!P12+KKD!P12+WYND!P12+KNR!P12+KSRGD!P12+SHS!P12</f>
        <v>0</v>
      </c>
      <c r="Q12" s="21"/>
      <c r="R12" s="21">
        <f>TVM!R12+KLM!R12+PTA!R12+ALP!R12+KTM!R12+IDK!R12+EKM!R12+TSR!R12+PLKD!R12+MLPM!R12+KKD!R12+WYND!R12+KNR!R12+KSRGD!R12+SHS!R12</f>
        <v>0</v>
      </c>
      <c r="S12" s="21"/>
      <c r="T12" s="45">
        <f>TVM!T12+KLM!T12+PTA!T12+ALP!T12+KTM!T12+IDK!T12+EKM!T12+TSR!T12+PLKD!T12+MLPM!T12+KKD!T12+WYND!T12+KNR!T12+KSRGD!T12+SHS!T12</f>
        <v>0</v>
      </c>
      <c r="U12" s="21"/>
      <c r="V12" s="21">
        <f>TVM!V12+KLM!V12+PTA!V12+ALP!V12+KTM!V12+IDK!V12+EKM!V12+TSR!V12+PLKD!V12+MLPM!V12+KKD!V12+WYND!V12+KNR!V12+KSRGD!V12+SHS!V12</f>
        <v>0</v>
      </c>
      <c r="W12" s="21"/>
      <c r="X12" s="22">
        <f t="shared" si="0"/>
        <v>0</v>
      </c>
      <c r="Y12" s="46"/>
    </row>
    <row r="13" spans="1:25" ht="24.75" customHeight="1">
      <c r="A13" s="498"/>
      <c r="B13" s="498"/>
      <c r="C13" s="498"/>
      <c r="D13" s="43">
        <v>8</v>
      </c>
      <c r="E13" s="43" t="s">
        <v>34</v>
      </c>
      <c r="F13" s="21">
        <f>TVM!F13+KLM!F13+PTA!F13+ALP!F13+KTM!F13+IDK!F13+EKM!F13+TSR!F13+PLKD!F13+MLPM!F13+KKD!F13+WYND!F13+KNR!F13+KSRGD!F13+SHS!F13</f>
        <v>0</v>
      </c>
      <c r="G13" s="21"/>
      <c r="H13" s="21">
        <f>TVM!H13+KLM!H13+PTA!H13+ALP!H13+KTM!H13+IDK!H13+EKM!H13+TSR!H13+PLKD!H13+MLPM!H13+KKD!H13+WYND!H13+KNR!H13+KSRGD!H13+SHS!H13</f>
        <v>0</v>
      </c>
      <c r="I13" s="21">
        <f>TVM!I13+KLM!I13+PTA!I13+ALP!I13+KTM!I13+IDK!I13+EKM!I13+TSR!I13+PLKD!I13+MLPM!I13+KKD!I13+WYND!I13+KNR!I13+KSRGD!I13+SHS!I13</f>
        <v>0</v>
      </c>
      <c r="J13" s="21">
        <f>TVM!J13+KLM!J13+PTA!J13+ALP!J13+KTM!J13+IDK!J13+EKM!J13+TSR!J13+PLKD!J13+MLPM!J13+KKD!J13+WYND!J13+KNR!J13+KSRGD!J13+SHS!J13</f>
        <v>0</v>
      </c>
      <c r="K13" s="21"/>
      <c r="L13" s="21">
        <f>TVM!L13+KLM!L13+PTA!L13+ALP!L13+KTM!L13+IDK!L13+EKM!L13+TSR!L13+PLKD!L13+MLPM!L13+KKD!L13+WYND!L13+KNR!L13+KSRGD!L13+SHS!L13</f>
        <v>0</v>
      </c>
      <c r="M13" s="21"/>
      <c r="N13" s="21">
        <f>TVM!N13+KLM!N13+PTA!N13+ALP!N13+KTM!N13+IDK!N13+EKM!N13+TSR!N13+PLKD!N13+MLPM!N13+KKD!N13+WYND!N13+KNR!N13+KSRGD!N13+SHS!N13</f>
        <v>0</v>
      </c>
      <c r="O13" s="21">
        <f>TVM!O13+KLM!O13+PTA!O13+ALP!O13+KTM!O13+IDK!O13+EKM!O13+TSR!O13+PLKD!O13+MLPM!O13+KKD!O13+WYND!O13+KNR!O13+KSRGD!O13+SHS!O13</f>
        <v>0</v>
      </c>
      <c r="P13" s="21">
        <f>TVM!P13+KLM!P13+PTA!P13+ALP!P13+KTM!P13+IDK!P13+EKM!P13+TSR!P13+PLKD!P13+MLPM!P13+KKD!P13+WYND!P13+KNR!P13+KSRGD!P13+SHS!P13</f>
        <v>0</v>
      </c>
      <c r="Q13" s="21"/>
      <c r="R13" s="21">
        <f>TVM!R13+KLM!R13+PTA!R13+ALP!R13+KTM!R13+IDK!R13+EKM!R13+TSR!R13+PLKD!R13+MLPM!R13+KKD!R13+WYND!R13+KNR!R13+KSRGD!R13+SHS!R13</f>
        <v>0</v>
      </c>
      <c r="S13" s="21"/>
      <c r="T13" s="45">
        <f>TVM!T13+KLM!T13+PTA!T13+ALP!T13+KTM!T13+IDK!T13+EKM!T13+TSR!T13+PLKD!T13+MLPM!T13+KKD!T13+WYND!T13+KNR!T13+KSRGD!T13+SHS!T13</f>
        <v>0</v>
      </c>
      <c r="U13" s="21"/>
      <c r="V13" s="21">
        <f>TVM!V13+KLM!V13+PTA!V13+ALP!V13+KTM!V13+IDK!V13+EKM!V13+TSR!V13+PLKD!V13+MLPM!V13+KKD!V13+WYND!V13+KNR!V13+KSRGD!V13+SHS!V13</f>
        <v>0</v>
      </c>
      <c r="W13" s="21"/>
      <c r="X13" s="22">
        <f t="shared" si="0"/>
        <v>0</v>
      </c>
      <c r="Y13" s="46"/>
    </row>
    <row r="14" spans="1:25" ht="63">
      <c r="A14" s="498"/>
      <c r="B14" s="498"/>
      <c r="C14" s="498"/>
      <c r="D14" s="43">
        <v>9</v>
      </c>
      <c r="E14" s="43" t="s">
        <v>35</v>
      </c>
      <c r="F14" s="21">
        <f>TVM!F14+KLM!F14+PTA!F14+ALP!F14+KTM!F14+IDK!F14+EKM!F14+TSR!F14+PLKD!F14+MLPM!F14+KKD!F14+WYND!F14+KNR!F14+KSRGD!F14+SHS!F14</f>
        <v>0</v>
      </c>
      <c r="G14" s="21"/>
      <c r="H14" s="21">
        <f>TVM!H14+KLM!H14+PTA!H14+ALP!H14+KTM!H14+IDK!H14+EKM!H14+TSR!H14+PLKD!H14+MLPM!H14+KKD!H14+WYND!H14+KNR!H14+KSRGD!H14+SHS!H14</f>
        <v>0</v>
      </c>
      <c r="I14" s="21">
        <f>TVM!I14+KLM!I14+PTA!I14+ALP!I14+KTM!I14+IDK!I14+EKM!I14+TSR!I14+PLKD!I14+MLPM!I14+KKD!I14+WYND!I14+KNR!I14+KSRGD!I14+SHS!I14</f>
        <v>0</v>
      </c>
      <c r="J14" s="21">
        <f>TVM!J14+KLM!J14+PTA!J14+ALP!J14+KTM!J14+IDK!J14+EKM!J14+TSR!J14+PLKD!J14+MLPM!J14+KKD!J14+WYND!J14+KNR!J14+KSRGD!J14+SHS!J14</f>
        <v>0</v>
      </c>
      <c r="K14" s="21"/>
      <c r="L14" s="21">
        <f>TVM!L14+KLM!L14+PTA!L14+ALP!L14+KTM!L14+IDK!L14+EKM!L14+TSR!L14+PLKD!L14+MLPM!L14+KKD!L14+WYND!L14+KNR!L14+KSRGD!L14+SHS!L14</f>
        <v>0</v>
      </c>
      <c r="M14" s="21"/>
      <c r="N14" s="21">
        <f>TVM!N14+KLM!N14+PTA!N14+ALP!N14+KTM!N14+IDK!N14+EKM!N14+TSR!N14+PLKD!N14+MLPM!N14+KKD!N14+WYND!N14+KNR!N14+KSRGD!N14+SHS!N14</f>
        <v>0</v>
      </c>
      <c r="O14" s="21">
        <f>TVM!O14+KLM!O14+PTA!O14+ALP!O14+KTM!O14+IDK!O14+EKM!O14+TSR!O14+PLKD!O14+MLPM!O14+KKD!O14+WYND!O14+KNR!O14+KSRGD!O14+SHS!O14</f>
        <v>0</v>
      </c>
      <c r="P14" s="21">
        <f>TVM!P14+KLM!P14+PTA!P14+ALP!P14+KTM!P14+IDK!P14+EKM!P14+TSR!P14+PLKD!P14+MLPM!P14+KKD!P14+WYND!P14+KNR!P14+KSRGD!P14+SHS!P14</f>
        <v>0</v>
      </c>
      <c r="Q14" s="21"/>
      <c r="R14" s="21">
        <f>TVM!R14+KLM!R14+PTA!R14+ALP!R14+KTM!R14+IDK!R14+EKM!R14+TSR!R14+PLKD!R14+MLPM!R14+KKD!R14+WYND!R14+KNR!R14+KSRGD!R14+SHS!R14</f>
        <v>0</v>
      </c>
      <c r="S14" s="21"/>
      <c r="T14" s="45">
        <f>TVM!T14+KLM!T14+PTA!T14+ALP!T14+KTM!T14+IDK!T14+EKM!T14+TSR!T14+PLKD!T14+MLPM!T14+KKD!T14+WYND!T14+KNR!T14+KSRGD!T14+SHS!T14</f>
        <v>0.85000000000000009</v>
      </c>
      <c r="U14" s="23" t="s">
        <v>451</v>
      </c>
      <c r="V14" s="48">
        <f>TVM!V14+KLM!V14+PTA!V14+ALP!V14+KTM!V14+IDK!V14+EKM!V14+TSR!V14+PLKD!V14+MLPM!V14+KKD!V14+WYND!V14+KNR!V14+KSRGD!V14+SHS!V14</f>
        <v>0</v>
      </c>
      <c r="W14" s="21"/>
      <c r="X14" s="22">
        <f t="shared" si="0"/>
        <v>0.85000000000000009</v>
      </c>
      <c r="Y14" s="46" t="s">
        <v>452</v>
      </c>
    </row>
    <row r="15" spans="1:25" ht="31.5">
      <c r="A15" s="498"/>
      <c r="B15" s="498"/>
      <c r="C15" s="498"/>
      <c r="D15" s="43">
        <v>10</v>
      </c>
      <c r="E15" s="43" t="s">
        <v>36</v>
      </c>
      <c r="F15" s="21">
        <f>TVM!F15+KLM!F15+PTA!F15+ALP!F15+KTM!F15+IDK!F15+EKM!F15+TSR!F15+PLKD!F15+MLPM!F15+KKD!F15+WYND!F15+KNR!F15+KSRGD!F15+SHS!F15</f>
        <v>0</v>
      </c>
      <c r="G15" s="21"/>
      <c r="H15" s="21">
        <f>TVM!H15+KLM!H15+PTA!H15+ALP!H15+KTM!H15+IDK!H15+EKM!H15+TSR!H15+PLKD!H15+MLPM!H15+KKD!H15+WYND!H15+KNR!H15+KSRGD!H15+SHS!H15</f>
        <v>0</v>
      </c>
      <c r="I15" s="21">
        <f>TVM!I15+KLM!I15+PTA!I15+ALP!I15+KTM!I15+IDK!I15+EKM!I15+TSR!I15+PLKD!I15+MLPM!I15+KKD!I15+WYND!I15+KNR!I15+KSRGD!I15+SHS!I15</f>
        <v>0</v>
      </c>
      <c r="J15" s="21">
        <f>TVM!J15+KLM!J15+PTA!J15+ALP!J15+KTM!J15+IDK!J15+EKM!J15+TSR!J15+PLKD!J15+MLPM!J15+KKD!J15+WYND!J15+KNR!J15+KSRGD!J15+SHS!J15</f>
        <v>0</v>
      </c>
      <c r="K15" s="21"/>
      <c r="L15" s="22">
        <f>TVM!L15+KLM!L15+PTA!L15+ALP!L15+KTM!L15+IDK!L15+EKM!L15+TSR!L15+PLKD!L15+MLPM!L15+KKD!L15+WYND!L15+KNR!L15+KSRGD!L15+SHS!L15</f>
        <v>0</v>
      </c>
      <c r="M15" s="21"/>
      <c r="N15" s="21">
        <f>TVM!N15+KLM!N15+PTA!N15+ALP!N15+KTM!N15+IDK!N15+EKM!N15+TSR!N15+PLKD!N15+MLPM!N15+KKD!N15+WYND!N15+KNR!N15+KSRGD!N15+SHS!N15</f>
        <v>0</v>
      </c>
      <c r="O15" s="21">
        <f>TVM!O15+KLM!O15+PTA!O15+ALP!O15+KTM!O15+IDK!O15+EKM!O15+TSR!O15+PLKD!O15+MLPM!O15+KKD!O15+WYND!O15+KNR!O15+KSRGD!O15+SHS!O15</f>
        <v>0</v>
      </c>
      <c r="P15" s="21">
        <f>TVM!P15+KLM!P15+PTA!P15+ALP!P15+KTM!P15+IDK!P15+EKM!P15+TSR!P15+PLKD!P15+MLPM!P15+KKD!P15+WYND!P15+KNR!P15+KSRGD!P15+SHS!P15</f>
        <v>0</v>
      </c>
      <c r="Q15" s="21"/>
      <c r="R15" s="21">
        <f>TVM!R15+KLM!R15+PTA!R15+ALP!R15+KTM!R15+IDK!R15+EKM!R15+TSR!R15+PLKD!R15+MLPM!R15+KKD!R15+WYND!R15+KNR!R15+KSRGD!R15+SHS!R15</f>
        <v>0</v>
      </c>
      <c r="S15" s="21"/>
      <c r="T15" s="45">
        <f>TVM!T15+KLM!T15+PTA!T15+ALP!T15+KTM!T15+IDK!T15+EKM!T15+TSR!T15+PLKD!T15+MLPM!T15+KKD!T15+WYND!T15+KNR!T15+KSRGD!T15+SHS!T15</f>
        <v>0</v>
      </c>
      <c r="U15" s="21"/>
      <c r="V15" s="21">
        <f>TVM!V15+KLM!V15+PTA!V15+ALP!V15+KTM!V15+IDK!V15+EKM!V15+TSR!V15+PLKD!V15+MLPM!V15+KKD!V15+WYND!V15+KNR!V15+KSRGD!V15+SHS!V15</f>
        <v>0</v>
      </c>
      <c r="W15" s="21"/>
      <c r="X15" s="22">
        <f t="shared" si="0"/>
        <v>0</v>
      </c>
      <c r="Y15" s="46"/>
    </row>
    <row r="16" spans="1:25" ht="24.75" customHeight="1">
      <c r="A16" s="498"/>
      <c r="B16" s="498"/>
      <c r="C16" s="498"/>
      <c r="D16" s="43">
        <v>11</v>
      </c>
      <c r="E16" s="43" t="s">
        <v>37</v>
      </c>
      <c r="F16" s="21">
        <f>TVM!F16+KLM!F16+PTA!F16+ALP!F16+KTM!F16+IDK!F16+EKM!F16+TSR!F16+PLKD!F16+MLPM!F16+KKD!F16+WYND!F16+KNR!F16+KSRGD!F16+SHS!F16</f>
        <v>0</v>
      </c>
      <c r="G16" s="21"/>
      <c r="H16" s="48">
        <f>TVM!H16+KLM!H16+PTA!H16+ALP!H16+KTM!H16+IDK!H16+EKM!H16+TSR!H16+PLKD!H16+MLPM!H16+KKD!H16+WYND!H16+KNR!H16+KSRGD!H16+SHS!H16</f>
        <v>0</v>
      </c>
      <c r="I16" s="48">
        <f>TVM!I16+KLM!I16+PTA!I16+ALP!I16+KTM!I16+IDK!I16+EKM!I16+TSR!I16+PLKD!I16+MLPM!I16+KKD!I16+WYND!I16+KNR!I16+KSRGD!I16+SHS!I16</f>
        <v>0</v>
      </c>
      <c r="J16" s="48">
        <f>TVM!J16+KLM!J16+PTA!J16+ALP!J16+KTM!J16+IDK!J16+EKM!J16+TSR!J16+PLKD!J16+MLPM!J16+KKD!J16+WYND!J16+KNR!J16+KSRGD!J16+SHS!J16</f>
        <v>0</v>
      </c>
      <c r="K16" s="21"/>
      <c r="L16" s="21">
        <f>TVM!L16+KLM!L16+PTA!L16+ALP!L16+KTM!L16+IDK!L16+EKM!L16+TSR!L16+PLKD!L16+MLPM!L16+KKD!L16+WYND!L16+KNR!L16+KSRGD!L16+SHS!L16</f>
        <v>0</v>
      </c>
      <c r="M16" s="21"/>
      <c r="N16" s="21">
        <f>TVM!N16+KLM!N16+PTA!N16+ALP!N16+KTM!N16+IDK!N16+EKM!N16+TSR!N16+PLKD!N16+MLPM!N16+KKD!N16+WYND!N16+KNR!N16+KSRGD!N16+SHS!N16</f>
        <v>0</v>
      </c>
      <c r="O16" s="21">
        <f>TVM!O16+KLM!O16+PTA!O16+ALP!O16+KTM!O16+IDK!O16+EKM!O16+TSR!O16+PLKD!O16+MLPM!O16+KKD!O16+WYND!O16+KNR!O16+KSRGD!O16+SHS!O16</f>
        <v>0</v>
      </c>
      <c r="P16" s="21">
        <f>TVM!P16+KLM!P16+PTA!P16+ALP!P16+KTM!P16+IDK!P16+EKM!P16+TSR!P16+PLKD!P16+MLPM!P16+KKD!P16+WYND!P16+KNR!P16+KSRGD!P16+SHS!P16</f>
        <v>0</v>
      </c>
      <c r="Q16" s="21"/>
      <c r="R16" s="21">
        <f>TVM!R16+KLM!R16+PTA!R16+ALP!R16+KTM!R16+IDK!R16+EKM!R16+TSR!R16+PLKD!R16+MLPM!R16+KKD!R16+WYND!R16+KNR!R16+KSRGD!R16+SHS!R16</f>
        <v>0</v>
      </c>
      <c r="S16" s="21"/>
      <c r="T16" s="45">
        <f>TVM!T16+KLM!T16+PTA!T16+ALP!T16+KTM!T16+IDK!T16+EKM!T16+TSR!T16+PLKD!T16+MLPM!T16+KKD!T16+WYND!T16+KNR!T16+KSRGD!T16+SHS!T16</f>
        <v>0</v>
      </c>
      <c r="U16" s="21"/>
      <c r="V16" s="21">
        <f>TVM!V16+KLM!V16+PTA!V16+ALP!V16+KTM!V16+IDK!V16+EKM!V16+TSR!V16+PLKD!V16+MLPM!V16+KKD!V16+WYND!V16+KNR!V16+KSRGD!V16+SHS!V16</f>
        <v>0</v>
      </c>
      <c r="W16" s="21"/>
      <c r="X16" s="22">
        <f t="shared" si="0"/>
        <v>0</v>
      </c>
      <c r="Y16" s="46"/>
    </row>
    <row r="17" spans="1:25" ht="15.75">
      <c r="A17" s="498"/>
      <c r="B17" s="498"/>
      <c r="C17" s="498"/>
      <c r="D17" s="43">
        <v>12</v>
      </c>
      <c r="E17" s="43" t="s">
        <v>38</v>
      </c>
      <c r="F17" s="21">
        <f>TVM!F17+KLM!F17+PTA!F17+ALP!F17+KTM!F17+IDK!F17+EKM!F17+TSR!F17+PLKD!F17+MLPM!F17+KKD!F17+WYND!F17+KNR!F17+KSRGD!F17+SHS!F17</f>
        <v>0</v>
      </c>
      <c r="G17" s="21"/>
      <c r="H17" s="21">
        <f>TVM!H17+KLM!H17+PTA!H17+ALP!H17+KTM!H17+IDK!H17+EKM!H17+TSR!H17+PLKD!H17+MLPM!H17+KKD!H17+WYND!H17+KNR!H17+KSRGD!H17+SHS!H17</f>
        <v>0</v>
      </c>
      <c r="I17" s="21">
        <f>TVM!I17+KLM!I17+PTA!I17+ALP!I17+KTM!I17+IDK!I17+EKM!I17+TSR!I17+PLKD!I17+MLPM!I17+KKD!I17+WYND!I17+KNR!I17+KSRGD!I17+SHS!I17</f>
        <v>0</v>
      </c>
      <c r="J17" s="21">
        <f>TVM!J17+KLM!J17+PTA!J17+ALP!J17+KTM!J17+IDK!J17+EKM!J17+TSR!J17+PLKD!J17+MLPM!J17+KKD!J17+WYND!J17+KNR!J17+KSRGD!J17+SHS!J17</f>
        <v>0</v>
      </c>
      <c r="K17" s="21"/>
      <c r="L17" s="21">
        <f>TVM!L17+KLM!L17+PTA!L17+ALP!L17+KTM!L17+IDK!L17+EKM!L17+TSR!L17+PLKD!L17+MLPM!L17+KKD!L17+WYND!L17+KNR!L17+KSRGD!L17+SHS!L17</f>
        <v>0</v>
      </c>
      <c r="M17" s="21"/>
      <c r="N17" s="21">
        <f>TVM!N17+KLM!N17+PTA!N17+ALP!N17+KTM!N17+IDK!N17+EKM!N17+TSR!N17+PLKD!N17+MLPM!N17+KKD!N17+WYND!N17+KNR!N17+KSRGD!N17+SHS!N17</f>
        <v>0</v>
      </c>
      <c r="O17" s="21">
        <f>TVM!O17+KLM!O17+PTA!O17+ALP!O17+KTM!O17+IDK!O17+EKM!O17+TSR!O17+PLKD!O17+MLPM!O17+KKD!O17+WYND!O17+KNR!O17+KSRGD!O17+SHS!O17</f>
        <v>0</v>
      </c>
      <c r="P17" s="21">
        <f>TVM!P17+KLM!P17+PTA!P17+ALP!P17+KTM!P17+IDK!P17+EKM!P17+TSR!P17+PLKD!P17+MLPM!P17+KKD!P17+WYND!P17+KNR!P17+KSRGD!P17+SHS!P17</f>
        <v>0</v>
      </c>
      <c r="Q17" s="21"/>
      <c r="R17" s="21">
        <f>TVM!R17+KLM!R17+PTA!R17+ALP!R17+KTM!R17+IDK!R17+EKM!R17+TSR!R17+PLKD!R17+MLPM!R17+KKD!R17+WYND!R17+KNR!R17+KSRGD!R17+SHS!R17</f>
        <v>0</v>
      </c>
      <c r="S17" s="21"/>
      <c r="T17" s="45">
        <f>TVM!T17+KLM!T17+PTA!T17+ALP!T17+KTM!T17+IDK!T17+EKM!T17+TSR!T17+PLKD!T17+MLPM!T17+KKD!T17+WYND!T17+KNR!T17+KSRGD!T17+SHS!T17</f>
        <v>0</v>
      </c>
      <c r="U17" s="21"/>
      <c r="V17" s="21">
        <f>TVM!V17+KLM!V17+PTA!V17+ALP!V17+KTM!V17+IDK!V17+EKM!V17+TSR!V17+PLKD!V17+MLPM!V17+KKD!V17+WYND!V17+KNR!V17+KSRGD!V17+SHS!V17</f>
        <v>0</v>
      </c>
      <c r="W17" s="21"/>
      <c r="X17" s="22">
        <f t="shared" si="0"/>
        <v>0</v>
      </c>
      <c r="Y17" s="46"/>
    </row>
    <row r="18" spans="1:25" ht="24.75" customHeight="1">
      <c r="A18" s="498"/>
      <c r="B18" s="498"/>
      <c r="C18" s="498"/>
      <c r="D18" s="43">
        <v>13</v>
      </c>
      <c r="E18" s="43" t="s">
        <v>39</v>
      </c>
      <c r="F18" s="21">
        <f>TVM!F18+KLM!F18+PTA!F18+ALP!F18+KTM!F18+IDK!F18+EKM!F18+TSR!F18+PLKD!F18+MLPM!F18+KKD!F18+WYND!F18+KNR!F18+KSRGD!F18+SHS!F18</f>
        <v>0</v>
      </c>
      <c r="G18" s="21"/>
      <c r="H18" s="21">
        <f>TVM!H18+KLM!H18+PTA!H18+ALP!H18+KTM!H18+IDK!H18+EKM!H18+TSR!H18+PLKD!H18+MLPM!H18+KKD!H18+WYND!H18+KNR!H18+KSRGD!H18+SHS!H18</f>
        <v>0</v>
      </c>
      <c r="I18" s="21">
        <f>TVM!I18+KLM!I18+PTA!I18+ALP!I18+KTM!I18+IDK!I18+EKM!I18+TSR!I18+PLKD!I18+MLPM!I18+KKD!I18+WYND!I18+KNR!I18+KSRGD!I18+SHS!I18</f>
        <v>0</v>
      </c>
      <c r="J18" s="21">
        <f>TVM!J18+KLM!J18+PTA!J18+ALP!J18+KTM!J18+IDK!J18+EKM!J18+TSR!J18+PLKD!J18+MLPM!J18+KKD!J18+WYND!J18+KNR!J18+KSRGD!J18+SHS!J18</f>
        <v>0</v>
      </c>
      <c r="K18" s="21"/>
      <c r="L18" s="21">
        <f>TVM!L18+KLM!L18+PTA!L18+ALP!L18+KTM!L18+IDK!L18+EKM!L18+TSR!L18+PLKD!L18+MLPM!L18+KKD!L18+WYND!L18+KNR!L18+KSRGD!L18+SHS!L18</f>
        <v>0</v>
      </c>
      <c r="M18" s="21"/>
      <c r="N18" s="21">
        <f>TVM!N18+KLM!N18+PTA!N18+ALP!N18+KTM!N18+IDK!N18+EKM!N18+TSR!N18+PLKD!N18+MLPM!N18+KKD!N18+WYND!N18+KNR!N18+KSRGD!N18+SHS!N18</f>
        <v>0</v>
      </c>
      <c r="O18" s="21">
        <f>TVM!O18+KLM!O18+PTA!O18+ALP!O18+KTM!O18+IDK!O18+EKM!O18+TSR!O18+PLKD!O18+MLPM!O18+KKD!O18+WYND!O18+KNR!O18+KSRGD!O18+SHS!O18</f>
        <v>0</v>
      </c>
      <c r="P18" s="21">
        <f>TVM!P18+KLM!P18+PTA!P18+ALP!P18+KTM!P18+IDK!P18+EKM!P18+TSR!P18+PLKD!P18+MLPM!P18+KKD!P18+WYND!P18+KNR!P18+KSRGD!P18+SHS!P18</f>
        <v>0</v>
      </c>
      <c r="Q18" s="21"/>
      <c r="R18" s="21">
        <f>TVM!R18+KLM!R18+PTA!R18+ALP!R18+KTM!R18+IDK!R18+EKM!R18+TSR!R18+PLKD!R18+MLPM!R18+KKD!R18+WYND!R18+KNR!R18+KSRGD!R18+SHS!R18</f>
        <v>0</v>
      </c>
      <c r="S18" s="21"/>
      <c r="T18" s="45">
        <f>TVM!T18+KLM!T18+PTA!T18+ALP!T18+KTM!T18+IDK!T18+EKM!T18+TSR!T18+PLKD!T18+MLPM!T18+KKD!T18+WYND!T18+KNR!T18+KSRGD!T18+SHS!T18</f>
        <v>0</v>
      </c>
      <c r="U18" s="21"/>
      <c r="V18" s="21">
        <f>TVM!V18+KLM!V18+PTA!V18+ALP!V18+KTM!V18+IDK!V18+EKM!V18+TSR!V18+PLKD!V18+MLPM!V18+KKD!V18+WYND!V18+KNR!V18+KSRGD!V18+SHS!V18</f>
        <v>0</v>
      </c>
      <c r="W18" s="21"/>
      <c r="X18" s="22">
        <f t="shared" si="0"/>
        <v>0</v>
      </c>
      <c r="Y18" s="46"/>
    </row>
    <row r="19" spans="1:25" ht="24.75" customHeight="1">
      <c r="A19" s="498"/>
      <c r="B19" s="498"/>
      <c r="C19" s="498"/>
      <c r="D19" s="43">
        <v>14</v>
      </c>
      <c r="E19" s="43" t="s">
        <v>40</v>
      </c>
      <c r="F19" s="21">
        <f>TVM!F19+KLM!F19+PTA!F19+ALP!F19+KTM!F19+IDK!F19+EKM!F19+TSR!F19+PLKD!F19+MLPM!F19+KKD!F19+WYND!F19+KNR!F19+KSRGD!F19+SHS!F19</f>
        <v>0</v>
      </c>
      <c r="G19" s="21"/>
      <c r="H19" s="21">
        <f>TVM!H19+KLM!H19+PTA!H19+ALP!H19+KTM!H19+IDK!H19+EKM!H19+TSR!H19+PLKD!H19+MLPM!H19+KKD!H19+WYND!H19+KNR!H19+KSRGD!H19+SHS!H19</f>
        <v>0</v>
      </c>
      <c r="I19" s="21">
        <f>TVM!I19+KLM!I19+PTA!I19+ALP!I19+KTM!I19+IDK!I19+EKM!I19+TSR!I19+PLKD!I19+MLPM!I19+KKD!I19+WYND!I19+KNR!I19+KSRGD!I19+SHS!I19</f>
        <v>0</v>
      </c>
      <c r="J19" s="21">
        <f>TVM!J19+KLM!J19+PTA!J19+ALP!J19+KTM!J19+IDK!J19+EKM!J19+TSR!J19+PLKD!J19+MLPM!J19+KKD!J19+WYND!J19+KNR!J19+KSRGD!J19+SHS!J19</f>
        <v>0</v>
      </c>
      <c r="K19" s="21"/>
      <c r="L19" s="21">
        <f>TVM!L19+KLM!L19+PTA!L19+ALP!L19+KTM!L19+IDK!L19+EKM!L19+TSR!L19+PLKD!L19+MLPM!L19+KKD!L19+WYND!L19+KNR!L19+KSRGD!L19+SHS!L19</f>
        <v>0</v>
      </c>
      <c r="M19" s="21"/>
      <c r="N19" s="21">
        <f>TVM!N19+KLM!N19+PTA!N19+ALP!N19+KTM!N19+IDK!N19+EKM!N19+TSR!N19+PLKD!N19+MLPM!N19+KKD!N19+WYND!N19+KNR!N19+KSRGD!N19+SHS!N19</f>
        <v>0</v>
      </c>
      <c r="O19" s="21">
        <f>TVM!O19+KLM!O19+PTA!O19+ALP!O19+KTM!O19+IDK!O19+EKM!O19+TSR!O19+PLKD!O19+MLPM!O19+KKD!O19+WYND!O19+KNR!O19+KSRGD!O19+SHS!O19</f>
        <v>0</v>
      </c>
      <c r="P19" s="21">
        <f>TVM!P19+KLM!P19+PTA!P19+ALP!P19+KTM!P19+IDK!P19+EKM!P19+TSR!P19+PLKD!P19+MLPM!P19+KKD!P19+WYND!P19+KNR!P19+KSRGD!P19+SHS!P19</f>
        <v>0</v>
      </c>
      <c r="Q19" s="21"/>
      <c r="R19" s="21">
        <f>TVM!R19+KLM!R19+PTA!R19+ALP!R19+KTM!R19+IDK!R19+EKM!R19+TSR!R19+PLKD!R19+MLPM!R19+KKD!R19+WYND!R19+KNR!R19+KSRGD!R19+SHS!R19</f>
        <v>0</v>
      </c>
      <c r="S19" s="21"/>
      <c r="T19" s="45">
        <f>TVM!T19+KLM!T19+PTA!T19+ALP!T19+KTM!T19+IDK!T19+EKM!T19+TSR!T19+PLKD!T19+MLPM!T19+KKD!T19+WYND!T19+KNR!T19+KSRGD!T19+SHS!T19</f>
        <v>0</v>
      </c>
      <c r="U19" s="21"/>
      <c r="V19" s="21">
        <f>TVM!V19+KLM!V19+PTA!V19+ALP!V19+KTM!V19+IDK!V19+EKM!V19+TSR!V19+PLKD!V19+MLPM!V19+KKD!V19+WYND!V19+KNR!V19+KSRGD!V19+SHS!V19</f>
        <v>0</v>
      </c>
      <c r="W19" s="21"/>
      <c r="X19" s="22">
        <f t="shared" si="0"/>
        <v>0</v>
      </c>
      <c r="Y19" s="46"/>
    </row>
    <row r="20" spans="1:25" ht="115.5" customHeight="1">
      <c r="A20" s="498"/>
      <c r="B20" s="498"/>
      <c r="C20" s="498"/>
      <c r="D20" s="43">
        <v>15</v>
      </c>
      <c r="E20" s="43" t="s">
        <v>41</v>
      </c>
      <c r="F20" s="21">
        <f>TVM!F20+KLM!F20+PTA!F20+ALP!F20+KTM!F20+IDK!F20+EKM!F20+TSR!F20+PLKD!F20+MLPM!F20+KKD!F20+WYND!F20+KNR!F20+KSRGD!F20+SHS!F20</f>
        <v>0</v>
      </c>
      <c r="G20" s="21"/>
      <c r="H20" s="21">
        <f>TVM!H20+KLM!H20+PTA!H20+ALP!H20+KTM!H20+IDK!H20+EKM!H20+TSR!H20+PLKD!H20+MLPM!H20+KKD!H20+WYND!H20+KNR!H20+KSRGD!H20+SHS!H20</f>
        <v>0</v>
      </c>
      <c r="I20" s="21">
        <f>TVM!I20+KLM!I20+PTA!I20+ALP!I20+KTM!I20+IDK!I20+EKM!I20+TSR!I20+PLKD!I20+MLPM!I20+KKD!I20+WYND!I20+KNR!I20+KSRGD!I20+SHS!I20</f>
        <v>0</v>
      </c>
      <c r="J20" s="21">
        <f>TVM!J20+KLM!J20+PTA!J20+ALP!J20+KTM!J20+IDK!J20+EKM!J20+TSR!J20+PLKD!J20+MLPM!J20+KKD!J20+WYND!J20+KNR!J20+KSRGD!J20+SHS!J20</f>
        <v>0</v>
      </c>
      <c r="K20" s="21"/>
      <c r="L20" s="49">
        <f>TVM!L20+KLM!L20+PTA!L20+ALP!L20+KTM!L20+IDK!L20+EKM!L20+TSR!L20+PLKD!L20+MLPM!L20+KKD!L20+WYND!L20+KNR!L20+KSRGD!L20+SHS!L20</f>
        <v>342.54086720000004</v>
      </c>
      <c r="M20" s="23"/>
      <c r="N20" s="21">
        <f>TVM!N20+KLM!N20+PTA!N20+ALP!N20+KTM!N20+IDK!N20+EKM!N20+TSR!N20+PLKD!N20+MLPM!N20+KKD!N20+WYND!N20+KNR!N20+KSRGD!N20+SHS!N20</f>
        <v>0</v>
      </c>
      <c r="O20" s="21">
        <f>TVM!O20+KLM!O20+PTA!O20+ALP!O20+KTM!O20+IDK!O20+EKM!O20+TSR!O20+PLKD!O20+MLPM!O20+KKD!O20+WYND!O20+KNR!O20+KSRGD!O20+SHS!O20</f>
        <v>0</v>
      </c>
      <c r="P20" s="21">
        <f>TVM!P20+KLM!P20+PTA!P20+ALP!P20+KTM!P20+IDK!P20+EKM!P20+TSR!P20+PLKD!P20+MLPM!P20+KKD!P20+WYND!P20+KNR!P20+KSRGD!P20+SHS!P20</f>
        <v>0</v>
      </c>
      <c r="Q20" s="21"/>
      <c r="R20" s="21">
        <f>TVM!R20+KLM!R20+PTA!R20+ALP!R20+KTM!R20+IDK!R20+EKM!R20+TSR!R20+PLKD!R20+MLPM!R20+KKD!R20+WYND!R20+KNR!R20+KSRGD!R20+SHS!R20</f>
        <v>0</v>
      </c>
      <c r="S20" s="21"/>
      <c r="T20" s="45">
        <f>TVM!T20+KLM!T20+PTA!T20+ALP!T20+KTM!T20+IDK!T20+EKM!T20+TSR!T20+PLKD!T20+MLPM!T20+KKD!T20+WYND!T20+KNR!T20+KSRGD!T20+SHS!T20</f>
        <v>0</v>
      </c>
      <c r="U20" s="25"/>
      <c r="V20" s="21">
        <f>TVM!V20+KLM!V20+PTA!V20+ALP!V20+KTM!V20+IDK!V20+EKM!V20+TSR!V20+PLKD!V20+MLPM!V20+KKD!V20+WYND!V20+KNR!V20+KSRGD!V20+SHS!V20</f>
        <v>0</v>
      </c>
      <c r="W20" s="21"/>
      <c r="X20" s="54">
        <f t="shared" si="0"/>
        <v>342.54086720000004</v>
      </c>
      <c r="Y20" s="55" t="s">
        <v>1200</v>
      </c>
    </row>
    <row r="21" spans="1:25" ht="36.75" customHeight="1">
      <c r="A21" s="498"/>
      <c r="B21" s="498"/>
      <c r="C21" s="498"/>
      <c r="D21" s="43">
        <v>16</v>
      </c>
      <c r="E21" s="43" t="s">
        <v>42</v>
      </c>
      <c r="F21" s="21">
        <f>TVM!F21+KLM!F21+PTA!F21+ALP!F21+KTM!F21+IDK!F21+EKM!F21+TSR!F21+PLKD!F21+MLPM!F21+KKD!F21+WYND!F21+KNR!F21+KSRGD!F21+SHS!F21</f>
        <v>0</v>
      </c>
      <c r="G21" s="21"/>
      <c r="H21" s="21">
        <f>TVM!H21+KLM!H21+PTA!H21+ALP!H21+KTM!H21+IDK!H21+EKM!H21+TSR!H21+PLKD!H21+MLPM!H21+KKD!H21+WYND!H21+KNR!H21+KSRGD!H21+SHS!H21</f>
        <v>0</v>
      </c>
      <c r="I21" s="21">
        <f>TVM!I21+KLM!I21+PTA!I21+ALP!I21+KTM!I21+IDK!I21+EKM!I21+TSR!I21+PLKD!I21+MLPM!I21+KKD!I21+WYND!I21+KNR!I21+KSRGD!I21+SHS!I21</f>
        <v>0</v>
      </c>
      <c r="J21" s="21">
        <f>TVM!J21+KLM!J21+PTA!J21+ALP!J21+KTM!J21+IDK!J21+EKM!J21+TSR!J21+PLKD!J21+MLPM!J21+KKD!J21+WYND!J21+KNR!J21+KSRGD!J21+SHS!J21</f>
        <v>0</v>
      </c>
      <c r="K21" s="21"/>
      <c r="L21" s="21">
        <f>TVM!L21+KLM!L21+PTA!L21+ALP!L21+KTM!L21+IDK!L21+EKM!L21+TSR!L21+PLKD!L21+MLPM!L21+KKD!L21+WYND!L21+KNR!L21+KSRGD!L21+SHS!L21</f>
        <v>0</v>
      </c>
      <c r="M21" s="21"/>
      <c r="N21" s="21">
        <f>TVM!N21+KLM!N21+PTA!N21+ALP!N21+KTM!N21+IDK!N21+EKM!N21+TSR!N21+PLKD!N21+MLPM!N21+KKD!N21+WYND!N21+KNR!N21+KSRGD!N21+SHS!N21</f>
        <v>0</v>
      </c>
      <c r="O21" s="21">
        <f>TVM!O21+KLM!O21+PTA!O21+ALP!O21+KTM!O21+IDK!O21+EKM!O21+TSR!O21+PLKD!O21+MLPM!O21+KKD!O21+WYND!O21+KNR!O21+KSRGD!O21+SHS!O21</f>
        <v>0</v>
      </c>
      <c r="P21" s="21">
        <f>TVM!P21+KLM!P21+PTA!P21+ALP!P21+KTM!P21+IDK!P21+EKM!P21+TSR!P21+PLKD!P21+MLPM!P21+KKD!P21+WYND!P21+KNR!P21+KSRGD!P21+SHS!P21</f>
        <v>0</v>
      </c>
      <c r="Q21" s="21"/>
      <c r="R21" s="21">
        <f>TVM!R21+KLM!R21+PTA!R21+ALP!R21+KTM!R21+IDK!R21+EKM!R21+TSR!R21+PLKD!R21+MLPM!R21+KKD!R21+WYND!R21+KNR!R21+KSRGD!R21+SHS!R21</f>
        <v>0</v>
      </c>
      <c r="S21" s="21"/>
      <c r="T21" s="45">
        <f>TVM!T21+KLM!T21+PTA!T21+ALP!T21+KTM!T21+IDK!T21+EKM!T21+TSR!T21+PLKD!T21+MLPM!T21+KKD!T21+WYND!T21+KNR!T21+KSRGD!T21+SHS!T21</f>
        <v>0</v>
      </c>
      <c r="U21" s="21"/>
      <c r="V21" s="21">
        <f>TVM!V21+KLM!V21+PTA!V21+ALP!V21+KTM!V21+IDK!V21+EKM!V21+TSR!V21+PLKD!V21+MLPM!V21+KKD!V21+WYND!V21+KNR!V21+KSRGD!V21+SHS!V21</f>
        <v>0</v>
      </c>
      <c r="W21" s="21"/>
      <c r="X21" s="54">
        <f t="shared" si="0"/>
        <v>0</v>
      </c>
      <c r="Y21" s="55"/>
    </row>
    <row r="22" spans="1:25" ht="78.75">
      <c r="A22" s="498"/>
      <c r="B22" s="498"/>
      <c r="C22" s="498"/>
      <c r="D22" s="43">
        <v>17</v>
      </c>
      <c r="E22" s="43" t="s">
        <v>43</v>
      </c>
      <c r="F22" s="21">
        <f>TVM!F22+KLM!F22+PTA!F22+ALP!F22+KTM!F22+IDK!F22+EKM!F22+TSR!F22+PLKD!F22+MLPM!F22+KKD!F22+WYND!F22+KNR!F22+KSRGD!F22+SHS!F22</f>
        <v>0</v>
      </c>
      <c r="G22" s="21"/>
      <c r="H22" s="21">
        <f>TVM!H22+KLM!H22+PTA!H22+ALP!H22+KTM!H22+IDK!H22+EKM!H22+TSR!H22+PLKD!H22+MLPM!H22+KKD!H22+WYND!H22+KNR!H22+KSRGD!H22+SHS!H22</f>
        <v>0</v>
      </c>
      <c r="I22" s="21">
        <f>TVM!I22+KLM!I22+PTA!I22+ALP!I22+KTM!I22+IDK!I22+EKM!I22+TSR!I22+PLKD!I22+MLPM!I22+KKD!I22+WYND!I22+KNR!I22+KSRGD!I22+SHS!I22</f>
        <v>0</v>
      </c>
      <c r="J22" s="21">
        <f>TVM!J22+KLM!J22+PTA!J22+ALP!J22+KTM!J22+IDK!J22+EKM!J22+TSR!J22+PLKD!J22+MLPM!J22+KKD!J22+WYND!J22+KNR!J22+KSRGD!J22+SHS!J22</f>
        <v>0</v>
      </c>
      <c r="K22" s="21"/>
      <c r="L22" s="22">
        <f>TVM!L22+KLM!L22+PTA!L22+ALP!L22+KTM!L22+IDK!L22+EKM!L22+TSR!L22+PLKD!L22+MLPM!L22+KKD!L22+WYND!L22+KNR!L22+KSRGD!L22+SHS!L22</f>
        <v>1520.05</v>
      </c>
      <c r="M22" s="23"/>
      <c r="N22" s="21">
        <f>TVM!N22+KLM!N22+PTA!N22+ALP!N22+KTM!N22+IDK!N22+EKM!N22+TSR!N22+PLKD!N22+MLPM!N22+KKD!N22+WYND!N22+KNR!N22+KSRGD!N22+SHS!N22</f>
        <v>0</v>
      </c>
      <c r="O22" s="21">
        <f>TVM!O22+KLM!O22+PTA!O22+ALP!O22+KTM!O22+IDK!O22+EKM!O22+TSR!O22+PLKD!O22+MLPM!O22+KKD!O22+WYND!O22+KNR!O22+KSRGD!O22+SHS!O22</f>
        <v>0</v>
      </c>
      <c r="P22" s="21">
        <f>TVM!P22+KLM!P22+PTA!P22+ALP!P22+KTM!P22+IDK!P22+EKM!P22+TSR!P22+PLKD!P22+MLPM!P22+KKD!P22+WYND!P22+KNR!P22+KSRGD!P22+SHS!P22</f>
        <v>0</v>
      </c>
      <c r="Q22" s="21"/>
      <c r="R22" s="21">
        <f>TVM!R22+KLM!R22+PTA!R22+ALP!R22+KTM!R22+IDK!R22+EKM!R22+TSR!R22+PLKD!R22+MLPM!R22+KKD!R22+WYND!R22+KNR!R22+KSRGD!R22+SHS!R22</f>
        <v>0</v>
      </c>
      <c r="S22" s="21"/>
      <c r="T22" s="45">
        <f>TVM!T22+KLM!T22+PTA!T22+ALP!T22+KTM!T22+IDK!T22+EKM!T22+TSR!T22+PLKD!T22+MLPM!T22+KKD!T22+WYND!T22+KNR!T22+KSRGD!T22+SHS!T22</f>
        <v>0</v>
      </c>
      <c r="U22" s="21"/>
      <c r="V22" s="48">
        <f>TVM!V22+KLM!V22+PTA!V22+ALP!V22+KTM!V22+IDK!V22+EKM!V22+TSR!V22+PLKD!V22+MLPM!V22+KKD!V22+WYND!V22+KNR!V22+KSRGD!V22+SHS!V22</f>
        <v>0</v>
      </c>
      <c r="W22" s="21"/>
      <c r="X22" s="54">
        <f t="shared" si="0"/>
        <v>1520.05</v>
      </c>
      <c r="Y22" s="415" t="s">
        <v>1033</v>
      </c>
    </row>
    <row r="23" spans="1:25" ht="47.25">
      <c r="A23" s="498"/>
      <c r="B23" s="496"/>
      <c r="C23" s="496"/>
      <c r="D23" s="43">
        <v>18</v>
      </c>
      <c r="E23" s="43" t="s">
        <v>44</v>
      </c>
      <c r="F23" s="21">
        <f>TVM!F23+KLM!F23+PTA!F23+ALP!F23+KTM!F23+IDK!F23+EKM!F23+TSR!F23+PLKD!F23+MLPM!F23+KKD!F23+WYND!F23+KNR!F23+KSRGD!F23+SHS!F23</f>
        <v>0</v>
      </c>
      <c r="G23" s="21"/>
      <c r="H23" s="21">
        <f>TVM!H23+KLM!H23+PTA!H23+ALP!H23+KTM!H23+IDK!H23+EKM!H23+TSR!H23+PLKD!H23+MLPM!H23+KKD!H23+WYND!H23+KNR!H23+KSRGD!H23+SHS!H23</f>
        <v>0</v>
      </c>
      <c r="I23" s="21">
        <f>TVM!I23+KLM!I23+PTA!I23+ALP!I23+KTM!I23+IDK!I23+EKM!I23+TSR!I23+PLKD!I23+MLPM!I23+KKD!I23+WYND!I23+KNR!I23+KSRGD!I23+SHS!I23</f>
        <v>0</v>
      </c>
      <c r="J23" s="21">
        <f>TVM!J23+KLM!J23+PTA!J23+ALP!J23+KTM!J23+IDK!J23+EKM!J23+TSR!J23+PLKD!J23+MLPM!J23+KKD!J23+WYND!J23+KNR!J23+KSRGD!J23+SHS!J23</f>
        <v>0</v>
      </c>
      <c r="K23" s="21"/>
      <c r="L23" s="21">
        <f>TVM!L23+KLM!L23+PTA!L23+ALP!L23+KTM!L23+IDK!L23+EKM!L23+TSR!L23+PLKD!L23+MLPM!L23+KKD!L23+WYND!L23+KNR!L23+KSRGD!L23+SHS!L23</f>
        <v>0</v>
      </c>
      <c r="M23" s="21"/>
      <c r="N23" s="21">
        <f>TVM!N23+KLM!N23+PTA!N23+ALP!N23+KTM!N23+IDK!N23+EKM!N23+TSR!N23+PLKD!N23+MLPM!N23+KKD!N23+WYND!N23+KNR!N23+KSRGD!N23+SHS!N23</f>
        <v>0</v>
      </c>
      <c r="O23" s="21">
        <f>TVM!O23+KLM!O23+PTA!O23+ALP!O23+KTM!O23+IDK!O23+EKM!O23+TSR!O23+PLKD!O23+MLPM!O23+KKD!O23+WYND!O23+KNR!O23+KSRGD!O23+SHS!O23</f>
        <v>0</v>
      </c>
      <c r="P23" s="21">
        <f>TVM!P23+KLM!P23+PTA!P23+ALP!P23+KTM!P23+IDK!P23+EKM!P23+TSR!P23+PLKD!P23+MLPM!P23+KKD!P23+WYND!P23+KNR!P23+KSRGD!P23+SHS!P23</f>
        <v>0</v>
      </c>
      <c r="Q23" s="21"/>
      <c r="R23" s="21">
        <f>TVM!R23+KLM!R23+PTA!R23+ALP!R23+KTM!R23+IDK!R23+EKM!R23+TSR!R23+PLKD!R23+MLPM!R23+KKD!R23+WYND!R23+KNR!R23+KSRGD!R23+SHS!R23</f>
        <v>0</v>
      </c>
      <c r="S23" s="21"/>
      <c r="T23" s="45">
        <f>TVM!T23+KLM!T23+PTA!T23+ALP!T23+KTM!T23+IDK!T23+EKM!T23+TSR!T23+PLKD!T23+MLPM!T23+KKD!T23+WYND!T23+KNR!T23+KSRGD!T23+SHS!T23</f>
        <v>0</v>
      </c>
      <c r="U23" s="21"/>
      <c r="V23" s="48">
        <f>TVM!V23+KLM!V23+PTA!V23+ALP!V23+KTM!V23+IDK!V23+EKM!V23+TSR!V23+PLKD!V23+MLPM!V23+KKD!V23+WYND!V23+KNR!V23+KSRGD!V23+SHS!V23</f>
        <v>0</v>
      </c>
      <c r="W23" s="21"/>
      <c r="X23" s="22">
        <f t="shared" si="0"/>
        <v>0</v>
      </c>
      <c r="Y23" s="46"/>
    </row>
    <row r="24" spans="1:25" ht="24.75" customHeight="1">
      <c r="A24" s="498"/>
      <c r="B24" s="497" t="s">
        <v>45</v>
      </c>
      <c r="C24" s="497" t="s">
        <v>46</v>
      </c>
      <c r="D24" s="43">
        <v>19</v>
      </c>
      <c r="E24" s="43" t="s">
        <v>46</v>
      </c>
      <c r="F24" s="21">
        <f>TVM!F24+KLM!F24+PTA!F24+ALP!F24+KTM!F24+IDK!F24+EKM!F24+TSR!F24+PLKD!F24+MLPM!F24+KKD!F24+WYND!F24+KNR!F24+KSRGD!F24+SHS!F24</f>
        <v>0</v>
      </c>
      <c r="G24" s="21"/>
      <c r="H24" s="21">
        <f>TVM!H24+KLM!H24+PTA!H24+ALP!H24+KTM!H24+IDK!H24+EKM!H24+TSR!H24+PLKD!H24+MLPM!H24+KKD!H24+WYND!H24+KNR!H24+KSRGD!H24+SHS!H24</f>
        <v>0</v>
      </c>
      <c r="I24" s="21">
        <f>TVM!I24+KLM!I24+PTA!I24+ALP!I24+KTM!I24+IDK!I24+EKM!I24+TSR!I24+PLKD!I24+MLPM!I24+KKD!I24+WYND!I24+KNR!I24+KSRGD!I24+SHS!I24</f>
        <v>0</v>
      </c>
      <c r="J24" s="21">
        <f>TVM!J24+KLM!J24+PTA!J24+ALP!J24+KTM!J24+IDK!J24+EKM!J24+TSR!J24+PLKD!J24+MLPM!J24+KKD!J24+WYND!J24+KNR!J24+KSRGD!J24+SHS!J24</f>
        <v>0</v>
      </c>
      <c r="K24" s="21"/>
      <c r="L24" s="21">
        <f>TVM!L24+KLM!L24+PTA!L24+ALP!L24+KTM!L24+IDK!L24+EKM!L24+TSR!L24+PLKD!L24+MLPM!L24+KKD!L24+WYND!L24+KNR!L24+KSRGD!L24+SHS!L24</f>
        <v>0</v>
      </c>
      <c r="M24" s="21"/>
      <c r="N24" s="21">
        <f>TVM!N24+KLM!N24+PTA!N24+ALP!N24+KTM!N24+IDK!N24+EKM!N24+TSR!N24+PLKD!N24+MLPM!N24+KKD!N24+WYND!N24+KNR!N24+KSRGD!N24+SHS!N24</f>
        <v>0</v>
      </c>
      <c r="O24" s="21">
        <f>TVM!O24+KLM!O24+PTA!O24+ALP!O24+KTM!O24+IDK!O24+EKM!O24+TSR!O24+PLKD!O24+MLPM!O24+KKD!O24+WYND!O24+KNR!O24+KSRGD!O24+SHS!O24</f>
        <v>0</v>
      </c>
      <c r="P24" s="21">
        <f>TVM!P24+KLM!P24+PTA!P24+ALP!P24+KTM!P24+IDK!P24+EKM!P24+TSR!P24+PLKD!P24+MLPM!P24+KKD!P24+WYND!P24+KNR!P24+KSRGD!P24+SHS!P24</f>
        <v>0</v>
      </c>
      <c r="Q24" s="21"/>
      <c r="R24" s="21">
        <f>TVM!R24+KLM!R24+PTA!R24+ALP!R24+KTM!R24+IDK!R24+EKM!R24+TSR!R24+PLKD!R24+MLPM!R24+KKD!R24+WYND!R24+KNR!R24+KSRGD!R24+SHS!R24</f>
        <v>0</v>
      </c>
      <c r="S24" s="21"/>
      <c r="T24" s="45">
        <f>TVM!T24+KLM!T24+PTA!T24+ALP!T24+KTM!T24+IDK!T24+EKM!T24+TSR!T24+PLKD!T24+MLPM!T24+KKD!T24+WYND!T24+KNR!T24+KSRGD!T24+SHS!T24</f>
        <v>0</v>
      </c>
      <c r="U24" s="21"/>
      <c r="V24" s="21">
        <f>TVM!V24+KLM!V24+PTA!V24+ALP!V24+KTM!V24+IDK!V24+EKM!V24+TSR!V24+PLKD!V24+MLPM!V24+KKD!V24+WYND!V24+KNR!V24+KSRGD!V24+SHS!V24</f>
        <v>0</v>
      </c>
      <c r="W24" s="21"/>
      <c r="X24" s="22">
        <f t="shared" si="0"/>
        <v>0</v>
      </c>
      <c r="Y24" s="46"/>
    </row>
    <row r="25" spans="1:25" ht="78.75">
      <c r="A25" s="498"/>
      <c r="B25" s="496"/>
      <c r="C25" s="496"/>
      <c r="D25" s="43">
        <v>20</v>
      </c>
      <c r="E25" s="43" t="s">
        <v>47</v>
      </c>
      <c r="F25" s="21">
        <f>TVM!F25+KLM!F25+PTA!F25+ALP!F25+KTM!F25+IDK!F25+EKM!F25+TSR!F25+PLKD!F25+MLPM!F25+KKD!F25+WYND!F25+KNR!F25+KSRGD!F25+SHS!F25</f>
        <v>0</v>
      </c>
      <c r="G25" s="21"/>
      <c r="H25" s="21">
        <f>TVM!H25+KLM!H25+PTA!H25+ALP!H25+KTM!H25+IDK!H25+EKM!H25+TSR!H25+PLKD!H25+MLPM!H25+KKD!H25+WYND!H25+KNR!H25+KSRGD!H25+SHS!H25</f>
        <v>0</v>
      </c>
      <c r="I25" s="21">
        <f>TVM!I25+KLM!I25+PTA!I25+ALP!I25+KTM!I25+IDK!I25+EKM!I25+TSR!I25+PLKD!I25+MLPM!I25+KKD!I25+WYND!I25+KNR!I25+KSRGD!I25+SHS!I25</f>
        <v>0</v>
      </c>
      <c r="J25" s="21">
        <f>TVM!J25+KLM!J25+PTA!J25+ALP!J25+KTM!J25+IDK!J25+EKM!J25+TSR!J25+PLKD!J25+MLPM!J25+KKD!J25+WYND!J25+KNR!J25+KSRGD!J25+SHS!J25</f>
        <v>0</v>
      </c>
      <c r="K25" s="21"/>
      <c r="L25" s="21">
        <f>TVM!L25+KLM!L25+PTA!L25+ALP!L25+KTM!L25+IDK!L25+EKM!L25+TSR!L25+PLKD!L25+MLPM!L25+KKD!L25+WYND!L25+KNR!L25+KSRGD!L25+SHS!L25</f>
        <v>0</v>
      </c>
      <c r="M25" s="21"/>
      <c r="N25" s="21">
        <f>TVM!N25+KLM!N25+PTA!N25+ALP!N25+KTM!N25+IDK!N25+EKM!N25+TSR!N25+PLKD!N25+MLPM!N25+KKD!N25+WYND!N25+KNR!N25+KSRGD!N25+SHS!N25</f>
        <v>0</v>
      </c>
      <c r="O25" s="21">
        <f>TVM!O25+KLM!O25+PTA!O25+ALP!O25+KTM!O25+IDK!O25+EKM!O25+TSR!O25+PLKD!O25+MLPM!O25+KKD!O25+WYND!O25+KNR!O25+KSRGD!O25+SHS!O25</f>
        <v>0</v>
      </c>
      <c r="P25" s="21">
        <f>TVM!P25+KLM!P25+PTA!P25+ALP!P25+KTM!P25+IDK!P25+EKM!P25+TSR!P25+PLKD!P25+MLPM!P25+KKD!P25+WYND!P25+KNR!P25+KSRGD!P25+SHS!P25</f>
        <v>0</v>
      </c>
      <c r="Q25" s="21"/>
      <c r="R25" s="21">
        <f>TVM!R25+KLM!R25+PTA!R25+ALP!R25+KTM!R25+IDK!R25+EKM!R25+TSR!R25+PLKD!R25+MLPM!R25+KKD!R25+WYND!R25+KNR!R25+KSRGD!R25+SHS!R25</f>
        <v>0</v>
      </c>
      <c r="S25" s="21"/>
      <c r="T25" s="45">
        <f>TVM!T25+KLM!T25+PTA!T25+ALP!T25+KTM!T25+IDK!T25+EKM!T25+TSR!T25+PLKD!T25+MLPM!T25+KKD!T25+WYND!T25+KNR!T25+KSRGD!T25+SHS!T25</f>
        <v>0</v>
      </c>
      <c r="U25" s="21"/>
      <c r="V25" s="21">
        <f>TVM!V25+KLM!V25+PTA!V25+ALP!V25+KTM!V25+IDK!V25+EKM!V25+TSR!V25+PLKD!V25+MLPM!V25+KKD!V25+WYND!V25+KNR!V25+KSRGD!V25+SHS!V25</f>
        <v>0</v>
      </c>
      <c r="W25" s="21"/>
      <c r="X25" s="22">
        <f t="shared" si="0"/>
        <v>0</v>
      </c>
      <c r="Y25" s="46"/>
    </row>
    <row r="26" spans="1:25" ht="330.75">
      <c r="A26" s="498"/>
      <c r="B26" s="497" t="s">
        <v>48</v>
      </c>
      <c r="C26" s="497" t="s">
        <v>49</v>
      </c>
      <c r="D26" s="43">
        <v>21</v>
      </c>
      <c r="E26" s="43" t="s">
        <v>50</v>
      </c>
      <c r="F26" s="21">
        <f>TVM!F26+KLM!F26+PTA!F26+ALP!F26+KTM!F26+IDK!F26+EKM!F26+TSR!F26+PLKD!F26+MLPM!F26+KKD!F26+WYND!F26+KNR!F26+KSRGD!F26+SHS!F26</f>
        <v>0</v>
      </c>
      <c r="G26" s="21"/>
      <c r="H26" s="21">
        <f>TVM!H26+KLM!H26+PTA!H26+ALP!H26+KTM!H26+IDK!H26+EKM!H26+TSR!H26+PLKD!H26+MLPM!H26+KKD!H26+WYND!H26+KNR!H26+KSRGD!H26+SHS!H26</f>
        <v>0</v>
      </c>
      <c r="I26" s="48">
        <f>TVM!I26+KLM!I26+PTA!I26+ALP!I26+KTM!I26+IDK!I26+EKM!I26+TSR!I26+PLKD!I26+MLPM!I26+KKD!I26+WYND!I26+KNR!I26+KSRGD!I26+SHS!I26</f>
        <v>0</v>
      </c>
      <c r="J26" s="48">
        <f>TVM!J26+KLM!J26+PTA!J26+ALP!J26+KTM!J26+IDK!J26+EKM!J26+TSR!J26+PLKD!J26+MLPM!J26+KKD!J26+WYND!J26+KNR!J26+KSRGD!J26+SHS!J26</f>
        <v>0</v>
      </c>
      <c r="K26" s="21"/>
      <c r="L26" s="22">
        <f>TVM!L26+KLM!L26+PTA!L26+ALP!L26+KTM!L26+IDK!L26+EKM!L26+TSR!L26+PLKD!L26+MLPM!L26+KKD!L26+WYND!L26+KNR!L26+KSRGD!L26+SHS!L26</f>
        <v>0</v>
      </c>
      <c r="M26" s="21"/>
      <c r="N26" s="21">
        <f>TVM!N26+KLM!N26+PTA!N26+ALP!N26+KTM!N26+IDK!N26+EKM!N26+TSR!N26+PLKD!N26+MLPM!N26+KKD!N26+WYND!N26+KNR!N26+KSRGD!N26+SHS!N26</f>
        <v>0</v>
      </c>
      <c r="O26" s="22">
        <f>TVM!O26+KLM!O26+PTA!O26+ALP!O26+KTM!O26+IDK!O26+EKM!O26+TSR!O26+PLKD!O26+MLPM!O26+KKD!O26+WYND!O26+KNR!O26+KSRGD!O26+SHS!O26</f>
        <v>0</v>
      </c>
      <c r="P26" s="22">
        <f>TVM!P26+KLM!P26+PTA!P26+ALP!P26+KTM!P26+IDK!P26+EKM!P26+TSR!P26+PLKD!P26+MLPM!P26+KKD!P26+WYND!P26+KNR!P26+KSRGD!P26+SHS!P26</f>
        <v>0</v>
      </c>
      <c r="Q26" s="21"/>
      <c r="R26" s="21">
        <f>TVM!R26+KLM!R26+PTA!R26+ALP!R26+KTM!R26+IDK!R26+EKM!R26+TSR!R26+PLKD!R26+MLPM!R26+KKD!R26+WYND!R26+KNR!R26+KSRGD!R26+SHS!R26</f>
        <v>0</v>
      </c>
      <c r="S26" s="21"/>
      <c r="T26" s="45">
        <f>TVM!T26+KLM!T26+PTA!T26+ALP!T26+KTM!T26+IDK!T26+EKM!T26+TSR!T26+PLKD!T26+MLPM!T26+KKD!T26+WYND!T26+KNR!T26+KSRGD!T26+SHS!T26</f>
        <v>289.23599999999999</v>
      </c>
      <c r="U26" s="21"/>
      <c r="V26" s="21">
        <f>TVM!V26+KLM!V26+PTA!V26+ALP!V26+KTM!V26+IDK!V26+EKM!V26+TSR!V26+PLKD!V26+MLPM!V26+KKD!V26+WYND!V26+KNR!V26+KSRGD!V26+SHS!V26</f>
        <v>0</v>
      </c>
      <c r="W26" s="21"/>
      <c r="X26" s="22">
        <f t="shared" si="0"/>
        <v>289.23599999999999</v>
      </c>
      <c r="Y26" s="46" t="s">
        <v>453</v>
      </c>
    </row>
    <row r="27" spans="1:25" ht="409.6" customHeight="1">
      <c r="A27" s="498"/>
      <c r="B27" s="498"/>
      <c r="C27" s="498"/>
      <c r="D27" s="43">
        <v>22</v>
      </c>
      <c r="E27" s="43" t="s">
        <v>52</v>
      </c>
      <c r="F27" s="48">
        <f>TVM!F27+KLM!F27+PTA!F27+ALP!F27+KTM!F27+IDK!F27+EKM!F27+TSR!F27+PLKD!F27+MLPM!F27+KKD!F27+WYND!F27+KNR!F27+KSRGD!F27+SHS!F27</f>
        <v>0</v>
      </c>
      <c r="G27" s="21"/>
      <c r="H27" s="21">
        <f>TVM!H27+KLM!H27+PTA!H27+ALP!H27+KTM!H27+IDK!H27+EKM!H27+TSR!H27+PLKD!H27+MLPM!H27+KKD!H27+WYND!H27+KNR!H27+KSRGD!H27+SHS!H27</f>
        <v>0</v>
      </c>
      <c r="I27" s="48">
        <f>TVM!I27+KLM!I27+PTA!I27+ALP!I27+KTM!I27+IDK!I27+EKM!I27+TSR!I27+PLKD!I27+MLPM!I27+KKD!I27+WYND!I27+KNR!I27+KSRGD!I27+SHS!I27</f>
        <v>0</v>
      </c>
      <c r="J27" s="48">
        <f>TVM!J27+KLM!J27+PTA!J27+ALP!J27+KTM!J27+IDK!J27+EKM!J27+TSR!J27+PLKD!J27+MLPM!J27+KKD!J27+WYND!J27+KNR!J27+KSRGD!J27+SHS!J27</f>
        <v>0</v>
      </c>
      <c r="K27" s="21"/>
      <c r="L27" s="26">
        <f>TVM!L27+KLM!L27+PTA!L27+ALP!L27+KTM!L27+IDK!L27+EKM!L27+TSR!L27+PLKD!L27+MLPM!L27+KKD!L27+WYND!L27+KNR!L27+KSRGD!L27+SHS!L27</f>
        <v>89.791359999999997</v>
      </c>
      <c r="M27" s="21"/>
      <c r="N27" s="21">
        <f>TVM!N27+KLM!N27+PTA!N27+ALP!N27+KTM!N27+IDK!N27+EKM!N27+TSR!N27+PLKD!N27+MLPM!N27+KKD!N27+WYND!N27+KNR!N27+KSRGD!N27+SHS!N27</f>
        <v>0</v>
      </c>
      <c r="O27" s="21">
        <f>TVM!O27+KLM!O27+PTA!O27+ALP!O27+KTM!O27+IDK!O27+EKM!O27+TSR!O27+PLKD!O27+MLPM!O27+KKD!O27+WYND!O27+KNR!O27+KSRGD!O27+SHS!O27</f>
        <v>0</v>
      </c>
      <c r="P27" s="21">
        <f>TVM!P27+KLM!P27+PTA!P27+ALP!P27+KTM!P27+IDK!P27+EKM!P27+TSR!P27+PLKD!P27+MLPM!P27+KKD!P27+WYND!P27+KNR!P27+KSRGD!P27+SHS!P27</f>
        <v>0</v>
      </c>
      <c r="Q27" s="21"/>
      <c r="R27" s="48">
        <f>TVM!R27+KLM!R27+PTA!R27+ALP!R27+KTM!R27+IDK!R27+EKM!R27+TSR!R27+PLKD!R27+MLPM!R27+KKD!R27+WYND!R27+KNR!R27+KSRGD!R27+SHS!R27</f>
        <v>14</v>
      </c>
      <c r="S27" s="21"/>
      <c r="T27" s="45">
        <f>TVM!T27+KLM!T27+PTA!T27+ALP!T27+KTM!T27+IDK!T27+EKM!T27+TSR!T27+PLKD!T27+MLPM!T27+KKD!T27+WYND!T27+KNR!T27+KSRGD!T27+SHS!T27</f>
        <v>2380.9999000000003</v>
      </c>
      <c r="U27" s="21"/>
      <c r="V27" s="21">
        <f>TVM!V27+KLM!V27+PTA!V27+ALP!V27+KTM!V27+IDK!V27+EKM!V27+TSR!V27+PLKD!V27+MLPM!V27+KKD!V27+WYND!V27+KNR!V27+KSRGD!V27+SHS!V27</f>
        <v>0</v>
      </c>
      <c r="W27" s="21"/>
      <c r="X27" s="22">
        <f t="shared" si="0"/>
        <v>2484.7912600000004</v>
      </c>
      <c r="Y27" s="46" t="s">
        <v>454</v>
      </c>
    </row>
    <row r="28" spans="1:25" ht="31.5" customHeight="1">
      <c r="A28" s="498"/>
      <c r="B28" s="498"/>
      <c r="C28" s="498"/>
      <c r="D28" s="43">
        <v>23</v>
      </c>
      <c r="E28" s="43" t="s">
        <v>55</v>
      </c>
      <c r="F28" s="21">
        <f>TVM!F28+KLM!F28+PTA!F28+ALP!F28+KTM!F28+IDK!F28+EKM!F28+TSR!F28+PLKD!F28+MLPM!F28+KKD!F28+WYND!F28+KNR!F28+KSRGD!F28+SHS!F28</f>
        <v>0</v>
      </c>
      <c r="G28" s="21"/>
      <c r="H28" s="21">
        <f>TVM!H28+KLM!H28+PTA!H28+ALP!H28+KTM!H28+IDK!H28+EKM!H28+TSR!H28+PLKD!H28+MLPM!H28+KKD!H28+WYND!H28+KNR!H28+KSRGD!H28+SHS!H28</f>
        <v>0</v>
      </c>
      <c r="I28" s="21">
        <f>TVM!I28+KLM!I28+PTA!I28+ALP!I28+KTM!I28+IDK!I28+EKM!I28+TSR!I28+PLKD!I28+MLPM!I28+KKD!I28+WYND!I28+KNR!I28+KSRGD!I28+SHS!I28</f>
        <v>0</v>
      </c>
      <c r="J28" s="21">
        <f>TVM!J28+KLM!J28+PTA!J28+ALP!J28+KTM!J28+IDK!J28+EKM!J28+TSR!J28+PLKD!J28+MLPM!J28+KKD!J28+WYND!J28+KNR!J28+KSRGD!J28+SHS!J28</f>
        <v>0</v>
      </c>
      <c r="K28" s="21"/>
      <c r="L28" s="21">
        <f>TVM!L28+KLM!L28+PTA!L28+ALP!L28+KTM!L28+IDK!L28+EKM!L28+TSR!L28+PLKD!L28+MLPM!L28+KKD!L28+WYND!L28+KNR!L28+KSRGD!L28+SHS!L28</f>
        <v>0</v>
      </c>
      <c r="M28" s="21"/>
      <c r="N28" s="21">
        <f>TVM!N28+KLM!N28+PTA!N28+ALP!N28+KTM!N28+IDK!N28+EKM!N28+TSR!N28+PLKD!N28+MLPM!N28+KKD!N28+WYND!N28+KNR!N28+KSRGD!N28+SHS!N28</f>
        <v>0</v>
      </c>
      <c r="O28" s="22">
        <f>TVM!O28+KLM!O28+PTA!O28+ALP!O28+KTM!O28+IDK!O28+EKM!O28+TSR!O28+PLKD!O28+MLPM!O28+KKD!O28+WYND!O28+KNR!O28+KSRGD!O28+SHS!O28</f>
        <v>0</v>
      </c>
      <c r="P28" s="22">
        <f>TVM!P28+KLM!P28+PTA!P28+ALP!P28+KTM!P28+IDK!P28+EKM!P28+TSR!P28+PLKD!P28+MLPM!P28+KKD!P28+WYND!P28+KNR!P28+KSRGD!P28+SHS!P28</f>
        <v>0</v>
      </c>
      <c r="Q28" s="21"/>
      <c r="R28" s="21">
        <f>TVM!R28+KLM!R28+PTA!R28+ALP!R28+KTM!R28+IDK!R28+EKM!R28+TSR!R28+PLKD!R28+MLPM!R28+KKD!R28+WYND!R28+KNR!R28+KSRGD!R28+SHS!R28</f>
        <v>0</v>
      </c>
      <c r="S28" s="21"/>
      <c r="T28" s="45">
        <f>TVM!T28+KLM!T28+PTA!T28+ALP!T28+KTM!T28+IDK!T28+EKM!T28+TSR!T28+PLKD!T28+MLPM!T28+KKD!T28+WYND!T28+KNR!T28+KSRGD!T28+SHS!T28</f>
        <v>0</v>
      </c>
      <c r="U28" s="21"/>
      <c r="V28" s="21">
        <f>TVM!V28+KLM!V28+PTA!V28+ALP!V28+KTM!V28+IDK!V28+EKM!V28+TSR!V28+PLKD!V28+MLPM!V28+KKD!V28+WYND!V28+KNR!V28+KSRGD!V28+SHS!V28</f>
        <v>0</v>
      </c>
      <c r="W28" s="21"/>
      <c r="X28" s="22">
        <f t="shared" si="0"/>
        <v>0</v>
      </c>
      <c r="Y28" s="46"/>
    </row>
    <row r="29" spans="1:25" ht="409.5">
      <c r="A29" s="498"/>
      <c r="B29" s="498"/>
      <c r="C29" s="498"/>
      <c r="D29" s="43">
        <v>24</v>
      </c>
      <c r="E29" s="43" t="s">
        <v>56</v>
      </c>
      <c r="F29" s="21">
        <f>TVM!F29+KLM!F29+PTA!F29+ALP!F29+KTM!F29+IDK!F29+EKM!F29+TSR!F29+PLKD!F29+MLPM!F29+KKD!F29+WYND!F29+KNR!F29+KSRGD!F29+SHS!F29</f>
        <v>0</v>
      </c>
      <c r="G29" s="21"/>
      <c r="H29" s="21">
        <f>TVM!H29+KLM!H29+PTA!H29+ALP!H29+KTM!H29+IDK!H29+EKM!H29+TSR!H29+PLKD!H29+MLPM!H29+KKD!H29+WYND!H29+KNR!H29+KSRGD!H29+SHS!H29</f>
        <v>120</v>
      </c>
      <c r="I29" s="48">
        <f>TVM!I29+KLM!I29+PTA!I29+ALP!I29+KTM!I29+IDK!I29+EKM!I29+TSR!I29+PLKD!I29+MLPM!I29+KKD!I29+WYND!I29+KNR!I29+KSRGD!I29+SHS!I29</f>
        <v>0</v>
      </c>
      <c r="J29" s="48">
        <f>TVM!J29+KLM!J29+PTA!J29+ALP!J29+KTM!J29+IDK!J29+EKM!J29+TSR!J29+PLKD!J29+MLPM!J29+KKD!J29+WYND!J29+KNR!J29+KSRGD!J29+SHS!J29</f>
        <v>120</v>
      </c>
      <c r="K29" s="21"/>
      <c r="L29" s="21">
        <f>TVM!L29+KLM!L29+PTA!L29+ALP!L29+KTM!L29+IDK!L29+EKM!L29+TSR!L29+PLKD!L29+MLPM!L29+KKD!L29+WYND!L29+KNR!L29+KSRGD!L29+SHS!L29</f>
        <v>197.48510999999999</v>
      </c>
      <c r="M29" s="21" t="s">
        <v>455</v>
      </c>
      <c r="N29" s="21">
        <f>TVM!N29+KLM!N29+PTA!N29+ALP!N29+KTM!N29+IDK!N29+EKM!N29+TSR!N29+PLKD!N29+MLPM!N29+KKD!N29+WYND!N29+KNR!N29+KSRGD!N29+SHS!N29</f>
        <v>0</v>
      </c>
      <c r="O29" s="21">
        <f>TVM!O29+KLM!O29+PTA!O29+ALP!O29+KTM!O29+IDK!O29+EKM!O29+TSR!O29+PLKD!O29+MLPM!O29+KKD!O29+WYND!O29+KNR!O29+KSRGD!O29+SHS!O29</f>
        <v>0</v>
      </c>
      <c r="P29" s="21">
        <f>TVM!P29+KLM!P29+PTA!P29+ALP!P29+KTM!P29+IDK!P29+EKM!P29+TSR!P29+PLKD!P29+MLPM!P29+KKD!P29+WYND!P29+KNR!P29+KSRGD!P29+SHS!P29</f>
        <v>0</v>
      </c>
      <c r="Q29" s="21"/>
      <c r="R29" s="21">
        <f>TVM!R29+KLM!R29+PTA!R29+ALP!R29+KTM!R29+IDK!R29+EKM!R29+TSR!R29+PLKD!R29+MLPM!R29+KKD!R29+WYND!R29+KNR!R29+KSRGD!R29+SHS!R29</f>
        <v>0</v>
      </c>
      <c r="S29" s="21"/>
      <c r="T29" s="45">
        <f>TVM!T29+KLM!T29+PTA!T29+ALP!T29+KTM!T29+IDK!T29+EKM!T29+TSR!T29+PLKD!T29+MLPM!T29+KKD!T29+WYND!T29+KNR!T29+KSRGD!T29+SHS!T29</f>
        <v>52.2</v>
      </c>
      <c r="U29" s="21"/>
      <c r="V29" s="21">
        <f>TVM!V29+KLM!V29+PTA!V29+ALP!V29+KTM!V29+IDK!V29+EKM!V29+TSR!V29+PLKD!V29+MLPM!V29+KKD!V29+WYND!V29+KNR!V29+KSRGD!V29+SHS!V29</f>
        <v>0</v>
      </c>
      <c r="W29" s="21"/>
      <c r="X29" s="22">
        <f t="shared" si="0"/>
        <v>369.68510999999995</v>
      </c>
      <c r="Y29" s="46" t="s">
        <v>1243</v>
      </c>
    </row>
    <row r="30" spans="1:25" ht="409.5">
      <c r="A30" s="498"/>
      <c r="B30" s="498"/>
      <c r="C30" s="498"/>
      <c r="D30" s="43">
        <v>25</v>
      </c>
      <c r="E30" s="43" t="s">
        <v>57</v>
      </c>
      <c r="F30" s="21">
        <f>TVM!F30+KLM!F30+PTA!F30+ALP!F30+KTM!F30+IDK!F30+EKM!F30+TSR!F30+PLKD!F30+MLPM!F30+KKD!F30+WYND!F30+KNR!F30+KSRGD!F30+SHS!F30</f>
        <v>0</v>
      </c>
      <c r="G30" s="21"/>
      <c r="H30" s="21">
        <f>TVM!H30+KLM!H30+PTA!H30+ALP!H30+KTM!H30+IDK!H30+EKM!H30+TSR!H30+PLKD!H30+MLPM!H30+KKD!H30+WYND!H30+KNR!H30+KSRGD!H30+SHS!H30</f>
        <v>0</v>
      </c>
      <c r="I30" s="21">
        <f>TVM!I30+KLM!I30+PTA!I30+ALP!I30+KTM!I30+IDK!I30+EKM!I30+TSR!I30+PLKD!I30+MLPM!I30+KKD!I30+WYND!I30+KNR!I30+KSRGD!I30+SHS!I30</f>
        <v>0</v>
      </c>
      <c r="J30" s="21">
        <f>TVM!J30+KLM!J30+PTA!J30+ALP!J30+KTM!J30+IDK!J30+EKM!J30+TSR!J30+PLKD!J30+MLPM!J30+KKD!J30+WYND!J30+KNR!J30+KSRGD!J30+SHS!J30</f>
        <v>0</v>
      </c>
      <c r="K30" s="21"/>
      <c r="L30" s="21">
        <f>TVM!L30+KLM!L30+PTA!L30+ALP!L30+KTM!L30+IDK!L30+EKM!L30+TSR!L30+PLKD!L30+MLPM!L30+KKD!L30+WYND!L30+KNR!L30+KSRGD!L30+SHS!L30</f>
        <v>0</v>
      </c>
      <c r="M30" s="21"/>
      <c r="N30" s="21">
        <f>TVM!N30+KLM!N30+PTA!N30+ALP!N30+KTM!N30+IDK!N30+EKM!N30+TSR!N30+PLKD!N30+MLPM!N30+KKD!N30+WYND!N30+KNR!N30+KSRGD!N30+SHS!N30</f>
        <v>0</v>
      </c>
      <c r="O30" s="21">
        <f>TVM!O30+KLM!O30+PTA!O30+ALP!O30+KTM!O30+IDK!O30+EKM!O30+TSR!O30+PLKD!O30+MLPM!O30+KKD!O30+WYND!O30+KNR!O30+KSRGD!O30+SHS!O30</f>
        <v>0</v>
      </c>
      <c r="P30" s="21">
        <f>TVM!P30+KLM!P30+PTA!P30+ALP!P30+KTM!P30+IDK!P30+EKM!P30+TSR!P30+PLKD!P30+MLPM!P30+KKD!P30+WYND!P30+KNR!P30+KSRGD!P30+SHS!P30</f>
        <v>0</v>
      </c>
      <c r="Q30" s="21"/>
      <c r="R30" s="21">
        <f>TVM!R30+KLM!R30+PTA!R30+ALP!R30+KTM!R30+IDK!R30+EKM!R30+TSR!R30+PLKD!R30+MLPM!R30+KKD!R30+WYND!R30+KNR!R30+KSRGD!R30+SHS!R30</f>
        <v>0</v>
      </c>
      <c r="S30" s="21"/>
      <c r="T30" s="45">
        <f>TVM!T30+KLM!T30+PTA!T30+ALP!T30+KTM!T30+IDK!T30+EKM!T30+TSR!T30+PLKD!T30+MLPM!T30+KKD!T30+WYND!T30+KNR!T30+KSRGD!T30+SHS!T30</f>
        <v>8.33</v>
      </c>
      <c r="U30" s="21"/>
      <c r="V30" s="21">
        <f>TVM!V30+KLM!V30+PTA!V30+ALP!V30+KTM!V30+IDK!V30+EKM!V30+TSR!V30+PLKD!V30+MLPM!V30+KKD!V30+WYND!V30+KNR!V30+KSRGD!V30+SHS!V30</f>
        <v>0</v>
      </c>
      <c r="W30" s="21"/>
      <c r="X30" s="22">
        <f t="shared" si="0"/>
        <v>8.33</v>
      </c>
      <c r="Y30" s="46" t="s">
        <v>456</v>
      </c>
    </row>
    <row r="31" spans="1:25" ht="409.5">
      <c r="A31" s="498"/>
      <c r="B31" s="498"/>
      <c r="C31" s="498"/>
      <c r="D31" s="43">
        <v>26</v>
      </c>
      <c r="E31" s="43" t="s">
        <v>58</v>
      </c>
      <c r="F31" s="21">
        <f>TVM!F31+KLM!F31+PTA!F31+ALP!F31+KTM!F31+IDK!F31+EKM!F31+TSR!F31+PLKD!F31+MLPM!F31+KKD!F31+WYND!F31+KNR!F31+KSRGD!F31+SHS!F31</f>
        <v>0</v>
      </c>
      <c r="G31" s="21"/>
      <c r="H31" s="21">
        <f>TVM!H31+KLM!H31+PTA!H31+ALP!H31+KTM!H31+IDK!H31+EKM!H31+TSR!H31+PLKD!H31+MLPM!H31+KKD!H31+WYND!H31+KNR!H31+KSRGD!H31+SHS!H31</f>
        <v>0</v>
      </c>
      <c r="I31" s="21">
        <f>TVM!I31+KLM!I31+PTA!I31+ALP!I31+KTM!I31+IDK!I31+EKM!I31+TSR!I31+PLKD!I31+MLPM!I31+KKD!I31+WYND!I31+KNR!I31+KSRGD!I31+SHS!I31</f>
        <v>0</v>
      </c>
      <c r="J31" s="21">
        <f>TVM!J31+KLM!J31+PTA!J31+ALP!J31+KTM!J31+IDK!J31+EKM!J31+TSR!J31+PLKD!J31+MLPM!J31+KKD!J31+WYND!J31+KNR!J31+KSRGD!J31+SHS!J31</f>
        <v>0</v>
      </c>
      <c r="K31" s="21"/>
      <c r="L31" s="22">
        <f>TVM!L31+KLM!L31+PTA!L31+ALP!L31+KTM!L31+IDK!L31+EKM!L31+TSR!L31+PLKD!L31+MLPM!L31+KKD!L31+WYND!L31+KNR!L31+KSRGD!L31+SHS!L31</f>
        <v>2.19</v>
      </c>
      <c r="M31" s="21"/>
      <c r="N31" s="21">
        <f>TVM!N31+KLM!N31+PTA!N31+ALP!N31+KTM!N31+IDK!N31+EKM!N31+TSR!N31+PLKD!N31+MLPM!N31+KKD!N31+WYND!N31+KNR!N31+KSRGD!N31+SHS!N31</f>
        <v>0</v>
      </c>
      <c r="O31" s="21">
        <f>TVM!O31+KLM!O31+PTA!O31+ALP!O31+KTM!O31+IDK!O31+EKM!O31+TSR!O31+PLKD!O31+MLPM!O31+KKD!O31+WYND!O31+KNR!O31+KSRGD!O31+SHS!O31</f>
        <v>86.557659999999998</v>
      </c>
      <c r="P31" s="21">
        <f>TVM!P31+KLM!P31+PTA!P31+ALP!P31+KTM!P31+IDK!P31+EKM!P31+TSR!P31+PLKD!P31+MLPM!P31+KKD!P31+WYND!P31+KNR!P31+KSRGD!P31+SHS!P31</f>
        <v>86.557659999999998</v>
      </c>
      <c r="Q31" s="21"/>
      <c r="R31" s="21">
        <f>TVM!R31+KLM!R31+PTA!R31+ALP!R31+KTM!R31+IDK!R31+EKM!R31+TSR!R31+PLKD!R31+MLPM!R31+KKD!R31+WYND!R31+KNR!R31+KSRGD!R31+SHS!R31</f>
        <v>0</v>
      </c>
      <c r="S31" s="21"/>
      <c r="T31" s="45">
        <f>TVM!T31+KLM!T31+PTA!T31+ALP!T31+KTM!T31+IDK!T31+EKM!T31+TSR!T31+PLKD!T31+MLPM!T31+KKD!T31+WYND!T31+KNR!T31+KSRGD!T31+SHS!T31</f>
        <v>3.85</v>
      </c>
      <c r="U31" s="47" t="s">
        <v>412</v>
      </c>
      <c r="V31" s="21">
        <f>TVM!V31+KLM!V31+PTA!V31+ALP!V31+KTM!V31+IDK!V31+EKM!V31+TSR!V31+PLKD!V31+MLPM!V31+KKD!V31+WYND!V31+KNR!V31+KSRGD!V31+SHS!V31</f>
        <v>0</v>
      </c>
      <c r="W31" s="21"/>
      <c r="X31" s="22">
        <f t="shared" si="0"/>
        <v>92.597659999999991</v>
      </c>
      <c r="Y31" s="46" t="s">
        <v>457</v>
      </c>
    </row>
    <row r="32" spans="1:25" ht="63">
      <c r="A32" s="498"/>
      <c r="B32" s="498"/>
      <c r="C32" s="498"/>
      <c r="D32" s="43">
        <v>27</v>
      </c>
      <c r="E32" s="43" t="s">
        <v>59</v>
      </c>
      <c r="F32" s="21">
        <f>TVM!F32+KLM!F32+PTA!F32+ALP!F32+KTM!F32+IDK!F32+EKM!F32+TSR!F32+PLKD!F32+MLPM!F32+KKD!F32+WYND!F32+KNR!F32+KSRGD!F32+SHS!F32</f>
        <v>0</v>
      </c>
      <c r="G32" s="21"/>
      <c r="H32" s="21">
        <f>TVM!H32+KLM!H32+PTA!H32+ALP!H32+KTM!H32+IDK!H32+EKM!H32+TSR!H32+PLKD!H32+MLPM!H32+KKD!H32+WYND!H32+KNR!H32+KSRGD!H32+SHS!H32</f>
        <v>0</v>
      </c>
      <c r="I32" s="48">
        <f>TVM!I32+KLM!I32+PTA!I32+ALP!I32+KTM!I32+IDK!I32+EKM!I32+TSR!I32+PLKD!I32+MLPM!I32+KKD!I32+WYND!I32+KNR!I32+KSRGD!I32+SHS!I32</f>
        <v>0</v>
      </c>
      <c r="J32" s="48">
        <f>TVM!J32+KLM!J32+PTA!J32+ALP!J32+KTM!J32+IDK!J32+EKM!J32+TSR!J32+PLKD!J32+MLPM!J32+KKD!J32+WYND!J32+KNR!J32+KSRGD!J32+SHS!J32</f>
        <v>0</v>
      </c>
      <c r="K32" s="21"/>
      <c r="L32" s="26">
        <f>TVM!L32+KLM!L32+PTA!L32+ALP!L32+KTM!L32+IDK!L32+EKM!L32+TSR!L32+PLKD!L32+MLPM!L32+KKD!L32+WYND!L32+KNR!L32+KSRGD!L32+SHS!L32</f>
        <v>703.45327999999995</v>
      </c>
      <c r="M32" s="21" t="s">
        <v>413</v>
      </c>
      <c r="N32" s="21">
        <f>TVM!N32+KLM!N32+PTA!N32+ALP!N32+KTM!N32+IDK!N32+EKM!N32+TSR!N32+PLKD!N32+MLPM!N32+KKD!N32+WYND!N32+KNR!N32+KSRGD!N32+SHS!N32</f>
        <v>0</v>
      </c>
      <c r="O32" s="21">
        <f>TVM!O32+KLM!O32+PTA!O32+ALP!O32+KTM!O32+IDK!O32+EKM!O32+TSR!O32+PLKD!O32+MLPM!O32+KKD!O32+WYND!O32+KNR!O32+KSRGD!O32+SHS!O32</f>
        <v>0</v>
      </c>
      <c r="P32" s="21">
        <f>TVM!P32+KLM!P32+PTA!P32+ALP!P32+KTM!P32+IDK!P32+EKM!P32+TSR!P32+PLKD!P32+MLPM!P32+KKD!P32+WYND!P32+KNR!P32+KSRGD!P32+SHS!P32</f>
        <v>0</v>
      </c>
      <c r="Q32" s="21"/>
      <c r="R32" s="21">
        <f>TVM!R32+KLM!R32+PTA!R32+ALP!R32+KTM!R32+IDK!R32+EKM!R32+TSR!R32+PLKD!R32+MLPM!R32+KKD!R32+WYND!R32+KNR!R32+KSRGD!R32+SHS!R32</f>
        <v>0</v>
      </c>
      <c r="S32" s="21"/>
      <c r="T32" s="45">
        <f>TVM!T32+KLM!T32+PTA!T32+ALP!T32+KTM!T32+IDK!T32+EKM!T32+TSR!T32+PLKD!T32+MLPM!T32+KKD!T32+WYND!T32+KNR!T32+KSRGD!T32+SHS!T32</f>
        <v>29</v>
      </c>
      <c r="U32" s="21"/>
      <c r="V32" s="21">
        <f>TVM!V32+KLM!V32+PTA!V32+ALP!V32+KTM!V32+IDK!V32+EKM!V32+TSR!V32+PLKD!V32+MLPM!V32+KKD!V32+WYND!V32+KNR!V32+KSRGD!V32+SHS!V32</f>
        <v>0</v>
      </c>
      <c r="W32" s="21"/>
      <c r="X32" s="22">
        <f t="shared" si="0"/>
        <v>732.45327999999995</v>
      </c>
      <c r="Y32" s="46" t="s">
        <v>458</v>
      </c>
    </row>
    <row r="33" spans="1:25" ht="73.5" customHeight="1">
      <c r="A33" s="498"/>
      <c r="B33" s="498"/>
      <c r="C33" s="498"/>
      <c r="D33" s="43">
        <v>28</v>
      </c>
      <c r="E33" s="43" t="s">
        <v>30</v>
      </c>
      <c r="F33" s="21">
        <f>TVM!F33+KLM!F33+PTA!F33+ALP!F33+KTM!F33+IDK!F33+EKM!F33+TSR!F33+PLKD!F33+MLPM!F33+KKD!F33+WYND!F33+KNR!F33+KSRGD!F33+SHS!F33</f>
        <v>0</v>
      </c>
      <c r="G33" s="21"/>
      <c r="H33" s="21">
        <f>TVM!H33+KLM!H33+PTA!H33+ALP!H33+KTM!H33+IDK!H33+EKM!H33+TSR!H33+PLKD!H33+MLPM!H33+KKD!H33+WYND!H33+KNR!H33+KSRGD!H33+SHS!H33</f>
        <v>0</v>
      </c>
      <c r="I33" s="21">
        <f>TVM!I33+KLM!I33+PTA!I33+ALP!I33+KTM!I33+IDK!I33+EKM!I33+TSR!I33+PLKD!I33+MLPM!I33+KKD!I33+WYND!I33+KNR!I33+KSRGD!I33+SHS!I33</f>
        <v>0</v>
      </c>
      <c r="J33" s="21">
        <f>TVM!J33+KLM!J33+PTA!J33+ALP!J33+KTM!J33+IDK!J33+EKM!J33+TSR!J33+PLKD!J33+MLPM!J33+KKD!J33+WYND!J33+KNR!J33+KSRGD!J33+SHS!J33</f>
        <v>0</v>
      </c>
      <c r="K33" s="21"/>
      <c r="L33" s="21">
        <f>TVM!L33+KLM!L33+PTA!L33+ALP!L33+KTM!L33+IDK!L33+EKM!L33+TSR!L33+PLKD!L33+MLPM!L33+KKD!L33+WYND!L33+KNR!L33+KSRGD!L33+SHS!L33</f>
        <v>0</v>
      </c>
      <c r="M33" s="21"/>
      <c r="N33" s="21">
        <f>TVM!N33+KLM!N33+PTA!N33+ALP!N33+KTM!N33+IDK!N33+EKM!N33+TSR!N33+PLKD!N33+MLPM!N33+KKD!N33+WYND!N33+KNR!N33+KSRGD!N33+SHS!N33</f>
        <v>0</v>
      </c>
      <c r="O33" s="22">
        <f>TVM!O33+KLM!O33+PTA!O33+ALP!O33+KTM!O33+IDK!O33+EKM!O33+TSR!O33+PLKD!O33+MLPM!O33+KKD!O33+WYND!O33+KNR!O33+KSRGD!O33+SHS!O33</f>
        <v>96.632100000000008</v>
      </c>
      <c r="P33" s="22">
        <f>TVM!P33+KLM!P33+PTA!P33+ALP!P33+KTM!P33+IDK!P33+EKM!P33+TSR!P33+PLKD!P33+MLPM!P33+KKD!P33+WYND!P33+KNR!P33+KSRGD!P33+SHS!P33</f>
        <v>96.632100000000008</v>
      </c>
      <c r="Q33" s="21"/>
      <c r="R33" s="22">
        <f>TVM!R33+KLM!R33+PTA!R33+ALP!R33+KTM!R33+IDK!R33+EKM!R33+TSR!R33+PLKD!R33+MLPM!R33+KKD!R33+WYND!R33+KNR!R33+KSRGD!R33+SHS!R33</f>
        <v>96.632100000000008</v>
      </c>
      <c r="S33" s="21"/>
      <c r="T33" s="45">
        <f>TVM!T33+KLM!T33+PTA!T33+ALP!T33+KTM!T33+IDK!T33+EKM!T33+TSR!T33+PLKD!T33+MLPM!T33+KKD!T33+WYND!T33+KNR!T33+KSRGD!T33+SHS!T33</f>
        <v>0</v>
      </c>
      <c r="U33" s="21"/>
      <c r="V33" s="21">
        <f>TVM!V33+KLM!V33+PTA!V33+ALP!V33+KTM!V33+IDK!V33+EKM!V33+TSR!V33+PLKD!V33+MLPM!V33+KKD!V33+WYND!V33+KNR!V33+KSRGD!V33+SHS!V33</f>
        <v>0</v>
      </c>
      <c r="W33" s="21"/>
      <c r="X33" s="22">
        <f t="shared" si="0"/>
        <v>193.26420000000002</v>
      </c>
      <c r="Y33" s="46" t="s">
        <v>459</v>
      </c>
    </row>
    <row r="34" spans="1:25" ht="63" customHeight="1">
      <c r="A34" s="498"/>
      <c r="B34" s="498"/>
      <c r="C34" s="498"/>
      <c r="D34" s="43">
        <v>29</v>
      </c>
      <c r="E34" s="43" t="s">
        <v>31</v>
      </c>
      <c r="F34" s="21">
        <f>TVM!F34+KLM!F34+PTA!F34+ALP!F34+KTM!F34+IDK!F34+EKM!F34+TSR!F34+PLKD!F34+MLPM!F34+KKD!F34+WYND!F34+KNR!F34+KSRGD!F34+SHS!F34</f>
        <v>0</v>
      </c>
      <c r="G34" s="21"/>
      <c r="H34" s="21">
        <f>TVM!H34+KLM!H34+PTA!H34+ALP!H34+KTM!H34+IDK!H34+EKM!H34+TSR!H34+PLKD!H34+MLPM!H34+KKD!H34+WYND!H34+KNR!H34+KSRGD!H34+SHS!H34</f>
        <v>0</v>
      </c>
      <c r="I34" s="21">
        <f>TVM!I34+KLM!I34+PTA!I34+ALP!I34+KTM!I34+IDK!I34+EKM!I34+TSR!I34+PLKD!I34+MLPM!I34+KKD!I34+WYND!I34+KNR!I34+KSRGD!I34+SHS!I34</f>
        <v>0</v>
      </c>
      <c r="J34" s="21">
        <f>TVM!J34+KLM!J34+PTA!J34+ALP!J34+KTM!J34+IDK!J34+EKM!J34+TSR!J34+PLKD!J34+MLPM!J34+KKD!J34+WYND!J34+KNR!J34+KSRGD!J34+SHS!J34</f>
        <v>0</v>
      </c>
      <c r="K34" s="21"/>
      <c r="L34" s="21">
        <f>TVM!L34+KLM!L34+PTA!L34+ALP!L34+KTM!L34+IDK!L34+EKM!L34+TSR!L34+PLKD!L34+MLPM!L34+KKD!L34+WYND!L34+KNR!L34+KSRGD!L34+SHS!L34</f>
        <v>0</v>
      </c>
      <c r="M34" s="21"/>
      <c r="N34" s="21">
        <f>TVM!N34+KLM!N34+PTA!N34+ALP!N34+KTM!N34+IDK!N34+EKM!N34+TSR!N34+PLKD!N34+MLPM!N34+KKD!N34+WYND!N34+KNR!N34+KSRGD!N34+SHS!N34</f>
        <v>0</v>
      </c>
      <c r="O34" s="21">
        <f>TVM!O34+KLM!O34+PTA!O34+ALP!O34+KTM!O34+IDK!O34+EKM!O34+TSR!O34+PLKD!O34+MLPM!O34+KKD!O34+WYND!O34+KNR!O34+KSRGD!O34+SHS!O34</f>
        <v>0</v>
      </c>
      <c r="P34" s="21">
        <f>TVM!P34+KLM!P34+PTA!P34+ALP!P34+KTM!P34+IDK!P34+EKM!P34+TSR!P34+PLKD!P34+MLPM!P34+KKD!P34+WYND!P34+KNR!P34+KSRGD!P34+SHS!P34</f>
        <v>0</v>
      </c>
      <c r="Q34" s="21"/>
      <c r="R34" s="21">
        <f>TVM!R34+KLM!R34+PTA!R34+ALP!R34+KTM!R34+IDK!R34+EKM!R34+TSR!R34+PLKD!R34+MLPM!R34+KKD!R34+WYND!R34+KNR!R34+KSRGD!R34+SHS!R34</f>
        <v>0</v>
      </c>
      <c r="S34" s="21"/>
      <c r="T34" s="45">
        <f>TVM!T34+KLM!T34+PTA!T34+ALP!T34+KTM!T34+IDK!T34+EKM!T34+TSR!T34+PLKD!T34+MLPM!T34+KKD!T34+WYND!T34+KNR!T34+KSRGD!T34+SHS!T34</f>
        <v>338.21235000000001</v>
      </c>
      <c r="U34" s="21"/>
      <c r="V34" s="21">
        <f>TVM!V34+KLM!V34+PTA!V34+ALP!V34+KTM!V34+IDK!V34+EKM!V34+TSR!V34+PLKD!V34+MLPM!V34+KKD!V34+WYND!V34+KNR!V34+KSRGD!V34+SHS!V34</f>
        <v>0</v>
      </c>
      <c r="W34" s="21"/>
      <c r="X34" s="22">
        <f t="shared" si="0"/>
        <v>338.21235000000001</v>
      </c>
      <c r="Y34" s="46" t="s">
        <v>460</v>
      </c>
    </row>
    <row r="35" spans="1:25" ht="283.5">
      <c r="A35" s="498"/>
      <c r="B35" s="498"/>
      <c r="C35" s="498"/>
      <c r="D35" s="43">
        <v>30</v>
      </c>
      <c r="E35" s="43" t="s">
        <v>60</v>
      </c>
      <c r="F35" s="21">
        <f>TVM!F35+KLM!F35+PTA!F35+ALP!F35+KTM!F35+IDK!F35+EKM!F35+TSR!F35+PLKD!F35+MLPM!F35+KKD!F35+WYND!F35+KNR!F35+KSRGD!F35+SHS!F35</f>
        <v>0</v>
      </c>
      <c r="G35" s="21"/>
      <c r="H35" s="21">
        <f>TVM!H35+KLM!H35+PTA!H35+ALP!H35+KTM!H35+IDK!H35+EKM!H35+TSR!H35+PLKD!H35+MLPM!H35+KKD!H35+WYND!H35+KNR!H35+KSRGD!H35+SHS!H35</f>
        <v>0</v>
      </c>
      <c r="I35" s="21">
        <f>TVM!I35+KLM!I35+PTA!I35+ALP!I35+KTM!I35+IDK!I35+EKM!I35+TSR!I35+PLKD!I35+MLPM!I35+KKD!I35+WYND!I35+KNR!I35+KSRGD!I35+SHS!I35</f>
        <v>0</v>
      </c>
      <c r="J35" s="21">
        <f>TVM!J35+KLM!J35+PTA!J35+ALP!J35+KTM!J35+IDK!J35+EKM!J35+TSR!J35+PLKD!J35+MLPM!J35+KKD!J35+WYND!J35+KNR!J35+KSRGD!J35+SHS!J35</f>
        <v>0</v>
      </c>
      <c r="K35" s="21"/>
      <c r="L35" s="22">
        <f>TVM!L35+KLM!L35+PTA!L35+ALP!L35+KTM!L35+IDK!L35+EKM!L35+TSR!L35+PLKD!L35+MLPM!L35+KKD!L35+WYND!L35+KNR!L35+KSRGD!L35+SHS!L35</f>
        <v>52.94</v>
      </c>
      <c r="M35" s="21"/>
      <c r="N35" s="21">
        <f>TVM!N35+KLM!N35+PTA!N35+ALP!N35+KTM!N35+IDK!N35+EKM!N35+TSR!N35+PLKD!N35+MLPM!N35+KKD!N35+WYND!N35+KNR!N35+KSRGD!N35+SHS!N35</f>
        <v>0</v>
      </c>
      <c r="O35" s="21">
        <f>TVM!O35+KLM!O35+PTA!O35+ALP!O35+KTM!O35+IDK!O35+EKM!O35+TSR!O35+PLKD!O35+MLPM!O35+KKD!O35+WYND!O35+KNR!O35+KSRGD!O35+SHS!O35</f>
        <v>0</v>
      </c>
      <c r="P35" s="21">
        <f>TVM!P35+KLM!P35+PTA!P35+ALP!P35+KTM!P35+IDK!P35+EKM!P35+TSR!P35+PLKD!P35+MLPM!P35+KKD!P35+WYND!P35+KNR!P35+KSRGD!P35+SHS!P35</f>
        <v>0</v>
      </c>
      <c r="Q35" s="21"/>
      <c r="R35" s="21">
        <f>TVM!R35+KLM!R35+PTA!R35+ALP!R35+KTM!R35+IDK!R35+EKM!R35+TSR!R35+PLKD!R35+MLPM!R35+KKD!R35+WYND!R35+KNR!R35+KSRGD!R35+SHS!R35</f>
        <v>0</v>
      </c>
      <c r="S35" s="21"/>
      <c r="T35" s="45">
        <f>TVM!T35+KLM!T35+PTA!T35+ALP!T35+KTM!T35+IDK!T35+EKM!T35+TSR!T35+PLKD!T35+MLPM!T35+KKD!T35+WYND!T35+KNR!T35+KSRGD!T35+SHS!T35</f>
        <v>0</v>
      </c>
      <c r="U35" s="21"/>
      <c r="V35" s="21">
        <f>TVM!V35+KLM!V35+PTA!V35+ALP!V35+KTM!V35+IDK!V35+EKM!V35+TSR!V35+PLKD!V35+MLPM!V35+KKD!V35+WYND!V35+KNR!V35+KSRGD!V35+SHS!V35</f>
        <v>0</v>
      </c>
      <c r="W35" s="21"/>
      <c r="X35" s="22">
        <f t="shared" si="0"/>
        <v>52.94</v>
      </c>
      <c r="Y35" s="46" t="s">
        <v>461</v>
      </c>
    </row>
    <row r="36" spans="1:25" ht="47.25">
      <c r="A36" s="498"/>
      <c r="B36" s="496"/>
      <c r="C36" s="496"/>
      <c r="D36" s="43">
        <v>31</v>
      </c>
      <c r="E36" s="43" t="s">
        <v>44</v>
      </c>
      <c r="F36" s="21">
        <f>TVM!F36+KLM!F36+PTA!F36+ALP!F36+KTM!F36+IDK!F36+EKM!F36+TSR!F36+PLKD!F36+MLPM!F36+KKD!F36+WYND!F36+KNR!F36+KSRGD!F36+SHS!F36</f>
        <v>0</v>
      </c>
      <c r="G36" s="21"/>
      <c r="H36" s="21">
        <f>TVM!H36+KLM!H36+PTA!H36+ALP!H36+KTM!H36+IDK!H36+EKM!H36+TSR!H36+PLKD!H36+MLPM!H36+KKD!H36+WYND!H36+KNR!H36+KSRGD!H36+SHS!H36</f>
        <v>0</v>
      </c>
      <c r="I36" s="21">
        <f>TVM!I36+KLM!I36+PTA!I36+ALP!I36+KTM!I36+IDK!I36+EKM!I36+TSR!I36+PLKD!I36+MLPM!I36+KKD!I36+WYND!I36+KNR!I36+KSRGD!I36+SHS!I36</f>
        <v>0</v>
      </c>
      <c r="J36" s="21">
        <f>TVM!J36+KLM!J36+PTA!J36+ALP!J36+KTM!J36+IDK!J36+EKM!J36+TSR!J36+PLKD!J36+MLPM!J36+KKD!J36+WYND!J36+KNR!J36+KSRGD!J36+SHS!J36</f>
        <v>0</v>
      </c>
      <c r="K36" s="21"/>
      <c r="L36" s="21">
        <f>TVM!L36+KLM!L36+PTA!L36+ALP!L36+KTM!L36+IDK!L36+EKM!L36+TSR!L36+PLKD!L36+MLPM!L36+KKD!L36+WYND!L36+KNR!L36+KSRGD!L36+SHS!L36</f>
        <v>0</v>
      </c>
      <c r="M36" s="21"/>
      <c r="N36" s="21">
        <f>TVM!N36+KLM!N36+PTA!N36+ALP!N36+KTM!N36+IDK!N36+EKM!N36+TSR!N36+PLKD!N36+MLPM!N36+KKD!N36+WYND!N36+KNR!N36+KSRGD!N36+SHS!N36</f>
        <v>0</v>
      </c>
      <c r="O36" s="21">
        <f>TVM!O36+KLM!O36+PTA!O36+ALP!O36+KTM!O36+IDK!O36+EKM!O36+TSR!O36+PLKD!O36+MLPM!O36+KKD!O36+WYND!O36+KNR!O36+KSRGD!O36+SHS!O36</f>
        <v>0</v>
      </c>
      <c r="P36" s="21">
        <f>TVM!P36+KLM!P36+PTA!P36+ALP!P36+KTM!P36+IDK!P36+EKM!P36+TSR!P36+PLKD!P36+MLPM!P36+KKD!P36+WYND!P36+KNR!P36+KSRGD!P36+SHS!P36</f>
        <v>0</v>
      </c>
      <c r="Q36" s="21"/>
      <c r="R36" s="21">
        <f>TVM!R36+KLM!R36+PTA!R36+ALP!R36+KTM!R36+IDK!R36+EKM!R36+TSR!R36+PLKD!R36+MLPM!R36+KKD!R36+WYND!R36+KNR!R36+KSRGD!R36+SHS!R36</f>
        <v>0</v>
      </c>
      <c r="S36" s="21"/>
      <c r="T36" s="45">
        <f>TVM!T36+KLM!T36+PTA!T36+ALP!T36+KTM!T36+IDK!T36+EKM!T36+TSR!T36+PLKD!T36+MLPM!T36+KKD!T36+WYND!T36+KNR!T36+KSRGD!T36+SHS!T36</f>
        <v>0</v>
      </c>
      <c r="U36" s="21"/>
      <c r="V36" s="21">
        <f>TVM!V36+KLM!V36+PTA!V36+ALP!V36+KTM!V36+IDK!V36+EKM!V36+TSR!V36+PLKD!V36+MLPM!V36+KKD!V36+WYND!V36+KNR!V36+KSRGD!V36+SHS!V36</f>
        <v>0</v>
      </c>
      <c r="W36" s="21"/>
      <c r="X36" s="22">
        <f t="shared" si="0"/>
        <v>0</v>
      </c>
      <c r="Y36" s="46"/>
    </row>
    <row r="37" spans="1:25" ht="409.5">
      <c r="A37" s="498"/>
      <c r="B37" s="497" t="s">
        <v>61</v>
      </c>
      <c r="C37" s="497" t="s">
        <v>62</v>
      </c>
      <c r="D37" s="43">
        <v>32</v>
      </c>
      <c r="E37" s="43" t="s">
        <v>63</v>
      </c>
      <c r="F37" s="21">
        <f>TVM!F37+KLM!F37+PTA!F37+ALP!F37+KTM!F37+IDK!F37+EKM!F37+TSR!F37+PLKD!F37+MLPM!F37+KKD!F37+WYND!F37+KNR!F37+KSRGD!F37+SHS!F37</f>
        <v>0</v>
      </c>
      <c r="G37" s="21"/>
      <c r="H37" s="21">
        <f>TVM!H37+KLM!H37+PTA!H37+ALP!H37+KTM!H37+IDK!H37+EKM!H37+TSR!H37+PLKD!H37+MLPM!H37+KKD!H37+WYND!H37+KNR!H37+KSRGD!H37+SHS!H37</f>
        <v>0</v>
      </c>
      <c r="I37" s="21">
        <f>TVM!I37+KLM!I37+PTA!I37+ALP!I37+KTM!I37+IDK!I37+EKM!I37+TSR!I37+PLKD!I37+MLPM!I37+KKD!I37+WYND!I37+KNR!I37+KSRGD!I37+SHS!I37</f>
        <v>0</v>
      </c>
      <c r="J37" s="21">
        <f>TVM!J37+KLM!J37+PTA!J37+ALP!J37+KTM!J37+IDK!J37+EKM!J37+TSR!J37+PLKD!J37+MLPM!J37+KKD!J37+WYND!J37+KNR!J37+KSRGD!J37+SHS!J37</f>
        <v>0</v>
      </c>
      <c r="K37" s="21"/>
      <c r="L37" s="22">
        <f>TVM!L37+KLM!L37+PTA!L37+ALP!L37+KTM!L37+IDK!L37+EKM!L37+TSR!L37+PLKD!L37+MLPM!L37+KKD!L37+WYND!L37+KNR!L37+KSRGD!L37+SHS!L37</f>
        <v>0</v>
      </c>
      <c r="M37" s="21"/>
      <c r="N37" s="21">
        <f>TVM!N37+KLM!N37+PTA!N37+ALP!N37+KTM!N37+IDK!N37+EKM!N37+TSR!N37+PLKD!N37+MLPM!N37+KKD!N37+WYND!N37+KNR!N37+KSRGD!N37+SHS!N37</f>
        <v>0</v>
      </c>
      <c r="O37" s="21">
        <f>TVM!O37+KLM!O37+PTA!O37+ALP!O37+KTM!O37+IDK!O37+EKM!O37+TSR!O37+PLKD!O37+MLPM!O37+KKD!O37+WYND!O37+KNR!O37+KSRGD!O37+SHS!O37</f>
        <v>0</v>
      </c>
      <c r="P37" s="21">
        <f>TVM!P37+KLM!P37+PTA!P37+ALP!P37+KTM!P37+IDK!P37+EKM!P37+TSR!P37+PLKD!P37+MLPM!P37+KKD!P37+WYND!P37+KNR!P37+KSRGD!P37+SHS!P37</f>
        <v>0</v>
      </c>
      <c r="Q37" s="21"/>
      <c r="R37" s="22">
        <f>TVM!R37+KLM!R37+PTA!R37+ALP!R37+KTM!R37+IDK!R37+EKM!R37+TSR!R37+PLKD!R37+MLPM!R37+KKD!R37+WYND!R37+KNR!R37+KSRGD!R37+SHS!R37</f>
        <v>0</v>
      </c>
      <c r="S37" s="21"/>
      <c r="T37" s="45">
        <f>TVM!T37+KLM!T37+PTA!T37+ALP!T37+KTM!T37+IDK!T37+EKM!T37+TSR!T37+PLKD!T37+MLPM!T37+KKD!T37+WYND!T37+KNR!T37+KSRGD!T37+SHS!T37</f>
        <v>194.51229999999998</v>
      </c>
      <c r="U37" s="47" t="s">
        <v>1201</v>
      </c>
      <c r="V37" s="22">
        <f>TVM!V37+KLM!V37+PTA!V37+ALP!V37+KTM!V37+IDK!V37+EKM!V37+TSR!V37+PLKD!V37+MLPM!V37+KKD!V37+WYND!V37+KNR!V37+KSRGD!V37+SHS!V37</f>
        <v>42.42</v>
      </c>
      <c r="W37" s="47" t="s">
        <v>1202</v>
      </c>
      <c r="X37" s="22">
        <f t="shared" si="0"/>
        <v>236.9323</v>
      </c>
      <c r="Y37" s="46"/>
    </row>
    <row r="38" spans="1:25" ht="35.25" customHeight="1">
      <c r="A38" s="498"/>
      <c r="B38" s="498"/>
      <c r="C38" s="498"/>
      <c r="D38" s="43">
        <v>33</v>
      </c>
      <c r="E38" s="43" t="s">
        <v>64</v>
      </c>
      <c r="F38" s="21">
        <f>TVM!F38+KLM!F38+PTA!F38+ALP!F38+KTM!F38+IDK!F38+EKM!F38+TSR!F38+PLKD!F38+MLPM!F38+KKD!F38+WYND!F38+KNR!F38+KSRGD!F38+SHS!F38</f>
        <v>0</v>
      </c>
      <c r="G38" s="21"/>
      <c r="H38" s="21">
        <f>TVM!H38+KLM!H38+PTA!H38+ALP!H38+KTM!H38+IDK!H38+EKM!H38+TSR!H38+PLKD!H38+MLPM!H38+KKD!H38+WYND!H38+KNR!H38+KSRGD!H38+SHS!H38</f>
        <v>0</v>
      </c>
      <c r="I38" s="21">
        <f>TVM!I38+KLM!I38+PTA!I38+ALP!I38+KTM!I38+IDK!I38+EKM!I38+TSR!I38+PLKD!I38+MLPM!I38+KKD!I38+WYND!I38+KNR!I38+KSRGD!I38+SHS!I38</f>
        <v>0</v>
      </c>
      <c r="J38" s="21">
        <f>TVM!J38+KLM!J38+PTA!J38+ALP!J38+KTM!J38+IDK!J38+EKM!J38+TSR!J38+PLKD!J38+MLPM!J38+KKD!J38+WYND!J38+KNR!J38+KSRGD!J38+SHS!J38</f>
        <v>0</v>
      </c>
      <c r="K38" s="21"/>
      <c r="L38" s="21">
        <f>TVM!L38+KLM!L38+PTA!L38+ALP!L38+KTM!L38+IDK!L38+EKM!L38+TSR!L38+PLKD!L38+MLPM!L38+KKD!L38+WYND!L38+KNR!L38+KSRGD!L38+SHS!L38</f>
        <v>0</v>
      </c>
      <c r="M38" s="21"/>
      <c r="N38" s="21">
        <f>TVM!N38+KLM!N38+PTA!N38+ALP!N38+KTM!N38+IDK!N38+EKM!N38+TSR!N38+PLKD!N38+MLPM!N38+KKD!N38+WYND!N38+KNR!N38+KSRGD!N38+SHS!N38</f>
        <v>0</v>
      </c>
      <c r="O38" s="21">
        <f>TVM!O38+KLM!O38+PTA!O38+ALP!O38+KTM!O38+IDK!O38+EKM!O38+TSR!O38+PLKD!O38+MLPM!O38+KKD!O38+WYND!O38+KNR!O38+KSRGD!O38+SHS!O38</f>
        <v>0</v>
      </c>
      <c r="P38" s="21">
        <f>TVM!P38+KLM!P38+PTA!P38+ALP!P38+KTM!P38+IDK!P38+EKM!P38+TSR!P38+PLKD!P38+MLPM!P38+KKD!P38+WYND!P38+KNR!P38+KSRGD!P38+SHS!P38</f>
        <v>0</v>
      </c>
      <c r="Q38" s="21"/>
      <c r="R38" s="21">
        <f>TVM!R38+KLM!R38+PTA!R38+ALP!R38+KTM!R38+IDK!R38+EKM!R38+TSR!R38+PLKD!R38+MLPM!R38+KKD!R38+WYND!R38+KNR!R38+KSRGD!R38+SHS!R38</f>
        <v>0</v>
      </c>
      <c r="S38" s="21"/>
      <c r="T38" s="45">
        <f>TVM!T38+KLM!T38+PTA!T38+ALP!T38+KTM!T38+IDK!T38+EKM!T38+TSR!T38+PLKD!T38+MLPM!T38+KKD!T38+WYND!T38+KNR!T38+KSRGD!T38+SHS!T38</f>
        <v>202.99</v>
      </c>
      <c r="U38" s="21"/>
      <c r="V38" s="21">
        <f>TVM!V38+KLM!V38+PTA!V38+ALP!V38+KTM!V38+IDK!V38+EKM!V38+TSR!V38+PLKD!V38+MLPM!V38+KKD!V38+WYND!V38+KNR!V38+KSRGD!V38+SHS!V38</f>
        <v>0</v>
      </c>
      <c r="W38" s="21"/>
      <c r="X38" s="22">
        <f t="shared" si="0"/>
        <v>202.99</v>
      </c>
      <c r="Y38" s="46" t="s">
        <v>415</v>
      </c>
    </row>
    <row r="39" spans="1:25" ht="39.75" customHeight="1">
      <c r="A39" s="498"/>
      <c r="B39" s="496"/>
      <c r="C39" s="496"/>
      <c r="D39" s="43">
        <v>34</v>
      </c>
      <c r="E39" s="43" t="s">
        <v>65</v>
      </c>
      <c r="F39" s="21">
        <f>TVM!F39+KLM!F39+PTA!F39+ALP!F39+KTM!F39+IDK!F39+EKM!F39+TSR!F39+PLKD!F39+MLPM!F39+KKD!F39+WYND!F39+KNR!F39+KSRGD!F39+SHS!F39</f>
        <v>0</v>
      </c>
      <c r="G39" s="21"/>
      <c r="H39" s="21">
        <f>TVM!H39+KLM!H39+PTA!H39+ALP!H39+KTM!H39+IDK!H39+EKM!H39+TSR!H39+PLKD!H39+MLPM!H39+KKD!H39+WYND!H39+KNR!H39+KSRGD!H39+SHS!H39</f>
        <v>0</v>
      </c>
      <c r="I39" s="21">
        <f>TVM!I39+KLM!I39+PTA!I39+ALP!I39+KTM!I39+IDK!I39+EKM!I39+TSR!I39+PLKD!I39+MLPM!I39+KKD!I39+WYND!I39+KNR!I39+KSRGD!I39+SHS!I39</f>
        <v>0</v>
      </c>
      <c r="J39" s="21">
        <f>TVM!J39+KLM!J39+PTA!J39+ALP!J39+KTM!J39+IDK!J39+EKM!J39+TSR!J39+PLKD!J39+MLPM!J39+KKD!J39+WYND!J39+KNR!J39+KSRGD!J39+SHS!J39</f>
        <v>0</v>
      </c>
      <c r="K39" s="21"/>
      <c r="L39" s="21">
        <f>TVM!L39+KLM!L39+PTA!L39+ALP!L39+KTM!L39+IDK!L39+EKM!L39+TSR!L39+PLKD!L39+MLPM!L39+KKD!L39+WYND!L39+KNR!L39+KSRGD!L39+SHS!L39</f>
        <v>12</v>
      </c>
      <c r="M39" s="23" t="s">
        <v>416</v>
      </c>
      <c r="N39" s="21">
        <f>TVM!N39+KLM!N39+PTA!N39+ALP!N39+KTM!N39+IDK!N39+EKM!N39+TSR!N39+PLKD!N39+MLPM!N39+KKD!N39+WYND!N39+KNR!N39+KSRGD!N39+SHS!N39</f>
        <v>0</v>
      </c>
      <c r="O39" s="21">
        <f>TVM!O39+KLM!O39+PTA!O39+ALP!O39+KTM!O39+IDK!O39+EKM!O39+TSR!O39+PLKD!O39+MLPM!O39+KKD!O39+WYND!O39+KNR!O39+KSRGD!O39+SHS!O39</f>
        <v>0</v>
      </c>
      <c r="P39" s="21">
        <f>TVM!P39+KLM!P39+PTA!P39+ALP!P39+KTM!P39+IDK!P39+EKM!P39+TSR!P39+PLKD!P39+MLPM!P39+KKD!P39+WYND!P39+KNR!P39+KSRGD!P39+SHS!P39</f>
        <v>0</v>
      </c>
      <c r="Q39" s="21"/>
      <c r="R39" s="21">
        <f>TVM!R39+KLM!R39+PTA!R39+ALP!R39+KTM!R39+IDK!R39+EKM!R39+TSR!R39+PLKD!R39+MLPM!R39+KKD!R39+WYND!R39+KNR!R39+KSRGD!R39+SHS!R39</f>
        <v>0</v>
      </c>
      <c r="S39" s="21"/>
      <c r="T39" s="45">
        <f>TVM!T39+KLM!T39+PTA!T39+ALP!T39+KTM!T39+IDK!T39+EKM!T39+TSR!T39+PLKD!T39+MLPM!T39+KKD!T39+WYND!T39+KNR!T39+KSRGD!T39+SHS!T39</f>
        <v>100.49987999999999</v>
      </c>
      <c r="U39" s="46" t="s">
        <v>462</v>
      </c>
      <c r="V39" s="21">
        <f>TVM!V39+KLM!V39+PTA!V39+ALP!V39+KTM!V39+IDK!V39+EKM!V39+TSR!V39+PLKD!V39+MLPM!V39+KKD!V39+WYND!V39+KNR!V39+KSRGD!V39+SHS!V39</f>
        <v>0</v>
      </c>
      <c r="W39" s="21"/>
      <c r="X39" s="22">
        <f t="shared" si="0"/>
        <v>112.49987999999999</v>
      </c>
      <c r="Y39" s="46"/>
    </row>
    <row r="40" spans="1:25" ht="315">
      <c r="A40" s="498"/>
      <c r="B40" s="497" t="s">
        <v>66</v>
      </c>
      <c r="C40" s="497" t="s">
        <v>67</v>
      </c>
      <c r="D40" s="43">
        <v>35</v>
      </c>
      <c r="E40" s="43" t="s">
        <v>68</v>
      </c>
      <c r="F40" s="21">
        <f>TVM!F40+KLM!F40+PTA!F40+ALP!F40+KTM!F40+IDK!F40+EKM!F40+TSR!F40+PLKD!F40+MLPM!F40+KKD!F40+WYND!F40+KNR!F40+KSRGD!F40+SHS!F40</f>
        <v>0</v>
      </c>
      <c r="G40" s="21"/>
      <c r="H40" s="21">
        <f>TVM!H40+KLM!H40+PTA!H40+ALP!H40+KTM!H40+IDK!H40+EKM!H40+TSR!H40+PLKD!H40+MLPM!H40+KKD!H40+WYND!H40+KNR!H40+KSRGD!H40+SHS!H40</f>
        <v>0</v>
      </c>
      <c r="I40" s="21">
        <f>TVM!I40+KLM!I40+PTA!I40+ALP!I40+KTM!I40+IDK!I40+EKM!I40+TSR!I40+PLKD!I40+MLPM!I40+KKD!I40+WYND!I40+KNR!I40+KSRGD!I40+SHS!I40</f>
        <v>0</v>
      </c>
      <c r="J40" s="21">
        <f>TVM!J40+KLM!J40+PTA!J40+ALP!J40+KTM!J40+IDK!J40+EKM!J40+TSR!J40+PLKD!J40+MLPM!J40+KKD!J40+WYND!J40+KNR!J40+KSRGD!J40+SHS!J40</f>
        <v>0</v>
      </c>
      <c r="K40" s="21"/>
      <c r="L40" s="22">
        <f>TVM!L40+KLM!L40+PTA!L40+ALP!L40+KTM!L40+IDK!L40+EKM!L40+TSR!L40+PLKD!L40+MLPM!L40+KKD!L40+WYND!L40+KNR!L40+KSRGD!L40+SHS!L40</f>
        <v>0</v>
      </c>
      <c r="M40" s="21"/>
      <c r="N40" s="21">
        <f>TVM!N40+KLM!N40+PTA!N40+ALP!N40+KTM!N40+IDK!N40+EKM!N40+TSR!N40+PLKD!N40+MLPM!N40+KKD!N40+WYND!N40+KNR!N40+KSRGD!N40+SHS!N40</f>
        <v>0</v>
      </c>
      <c r="O40" s="21">
        <f>TVM!O40+KLM!O40+PTA!O40+ALP!O40+KTM!O40+IDK!O40+EKM!O40+TSR!O40+PLKD!O40+MLPM!O40+KKD!O40+WYND!O40+KNR!O40+KSRGD!O40+SHS!O40</f>
        <v>0</v>
      </c>
      <c r="P40" s="21">
        <f>TVM!P40+KLM!P40+PTA!P40+ALP!P40+KTM!P40+IDK!P40+EKM!P40+TSR!P40+PLKD!P40+MLPM!P40+KKD!P40+WYND!P40+KNR!P40+KSRGD!P40+SHS!P40</f>
        <v>0</v>
      </c>
      <c r="Q40" s="21"/>
      <c r="R40" s="21">
        <f>TVM!R40+KLM!R40+PTA!R40+ALP!R40+KTM!R40+IDK!R40+EKM!R40+TSR!R40+PLKD!R40+MLPM!R40+KKD!R40+WYND!R40+KNR!R40+KSRGD!R40+SHS!R40</f>
        <v>0</v>
      </c>
      <c r="S40" s="21"/>
      <c r="T40" s="45">
        <f>TVM!T40+KLM!T40+PTA!T40+ALP!T40+KTM!T40+IDK!T40+EKM!T40+TSR!T40+PLKD!T40+MLPM!T40+KKD!T40+WYND!T40+KNR!T40+KSRGD!T40+SHS!T40</f>
        <v>36.83</v>
      </c>
      <c r="U40" s="21"/>
      <c r="V40" s="21">
        <f>TVM!V40+KLM!V40+PTA!V40+ALP!V40+KTM!V40+IDK!V40+EKM!V40+TSR!V40+PLKD!V40+MLPM!V40+KKD!V40+WYND!V40+KNR!V40+KSRGD!V40+SHS!V40</f>
        <v>0</v>
      </c>
      <c r="W40" s="21"/>
      <c r="X40" s="22">
        <f t="shared" si="0"/>
        <v>36.83</v>
      </c>
      <c r="Y40" s="46" t="s">
        <v>1244</v>
      </c>
    </row>
    <row r="41" spans="1:25" ht="110.25">
      <c r="A41" s="498"/>
      <c r="B41" s="498"/>
      <c r="C41" s="498"/>
      <c r="D41" s="43">
        <v>36</v>
      </c>
      <c r="E41" s="43" t="s">
        <v>70</v>
      </c>
      <c r="F41" s="21">
        <f>TVM!F41+KLM!F41+PTA!F41+ALP!F41+KTM!F41+IDK!F41+EKM!F41+TSR!F41+PLKD!F41+MLPM!F41+KKD!F41+WYND!F41+KNR!F41+KSRGD!F41+SHS!F41</f>
        <v>0</v>
      </c>
      <c r="G41" s="21"/>
      <c r="H41" s="21">
        <f>TVM!H41+KLM!H41+PTA!H41+ALP!H41+KTM!H41+IDK!H41+EKM!H41+TSR!H41+PLKD!H41+MLPM!H41+KKD!H41+WYND!H41+KNR!H41+KSRGD!H41+SHS!H41</f>
        <v>0</v>
      </c>
      <c r="I41" s="21">
        <f>TVM!I41+KLM!I41+PTA!I41+ALP!I41+KTM!I41+IDK!I41+EKM!I41+TSR!I41+PLKD!I41+MLPM!I41+KKD!I41+WYND!I41+KNR!I41+KSRGD!I41+SHS!I41</f>
        <v>0</v>
      </c>
      <c r="J41" s="21">
        <f>TVM!J41+KLM!J41+PTA!J41+ALP!J41+KTM!J41+IDK!J41+EKM!J41+TSR!J41+PLKD!J41+MLPM!J41+KKD!J41+WYND!J41+KNR!J41+KSRGD!J41+SHS!J41</f>
        <v>0</v>
      </c>
      <c r="K41" s="21"/>
      <c r="L41" s="21">
        <f>TVM!L41+KLM!L41+PTA!L41+ALP!L41+KTM!L41+IDK!L41+EKM!L41+TSR!L41+PLKD!L41+MLPM!L41+KKD!L41+WYND!L41+KNR!L41+KSRGD!L41+SHS!L41</f>
        <v>0</v>
      </c>
      <c r="M41" s="21"/>
      <c r="N41" s="21">
        <f>TVM!N41+KLM!N41+PTA!N41+ALP!N41+KTM!N41+IDK!N41+EKM!N41+TSR!N41+PLKD!N41+MLPM!N41+KKD!N41+WYND!N41+KNR!N41+KSRGD!N41+SHS!N41</f>
        <v>0</v>
      </c>
      <c r="O41" s="22">
        <f>TVM!O41+KLM!O41+PTA!O41+ALP!O41+KTM!O41+IDK!O41+EKM!O41+TSR!O41+PLKD!O41+MLPM!O41+KKD!O41+WYND!O41+KNR!O41+KSRGD!O41+SHS!O41</f>
        <v>84.59</v>
      </c>
      <c r="P41" s="22">
        <f>TVM!P41+KLM!P41+PTA!P41+ALP!P41+KTM!P41+IDK!P41+EKM!P41+TSR!P41+PLKD!P41+MLPM!P41+KKD!P41+WYND!P41+KNR!P41+KSRGD!P41+SHS!P41</f>
        <v>84.59</v>
      </c>
      <c r="Q41" s="21"/>
      <c r="R41" s="21">
        <f>TVM!R41+KLM!R41+PTA!R41+ALP!R41+KTM!R41+IDK!R41+EKM!R41+TSR!R41+PLKD!R41+MLPM!R41+KKD!R41+WYND!R41+KNR!R41+KSRGD!R41+SHS!R41</f>
        <v>0</v>
      </c>
      <c r="S41" s="21"/>
      <c r="T41" s="45">
        <f>TVM!T41+KLM!T41+PTA!T41+ALP!T41+KTM!T41+IDK!T41+EKM!T41+TSR!T41+PLKD!T41+MLPM!T41+KKD!T41+WYND!T41+KNR!T41+KSRGD!T41+SHS!T41</f>
        <v>0</v>
      </c>
      <c r="U41" s="21"/>
      <c r="V41" s="21">
        <f>TVM!V41+KLM!V41+PTA!V41+ALP!V41+KTM!V41+IDK!V41+EKM!V41+TSR!V41+PLKD!V41+MLPM!V41+KKD!V41+WYND!V41+KNR!V41+KSRGD!V41+SHS!V41</f>
        <v>0</v>
      </c>
      <c r="W41" s="21"/>
      <c r="X41" s="22">
        <f t="shared" si="0"/>
        <v>84.59</v>
      </c>
      <c r="Y41" s="46" t="s">
        <v>1231</v>
      </c>
    </row>
    <row r="42" spans="1:25" ht="31.5">
      <c r="A42" s="498"/>
      <c r="B42" s="498"/>
      <c r="C42" s="498"/>
      <c r="D42" s="43">
        <v>37</v>
      </c>
      <c r="E42" s="43" t="s">
        <v>71</v>
      </c>
      <c r="F42" s="21">
        <f>TVM!F42+KLM!F42+PTA!F42+ALP!F42+KTM!F42+IDK!F42+EKM!F42+TSR!F42+PLKD!F42+MLPM!F42+KKD!F42+WYND!F42+KNR!F42+KSRGD!F42+SHS!F42</f>
        <v>0</v>
      </c>
      <c r="G42" s="21"/>
      <c r="H42" s="21">
        <f>TVM!H42+KLM!H42+PTA!H42+ALP!H42+KTM!H42+IDK!H42+EKM!H42+TSR!H42+PLKD!H42+MLPM!H42+KKD!H42+WYND!H42+KNR!H42+KSRGD!H42+SHS!H42</f>
        <v>0</v>
      </c>
      <c r="I42" s="21">
        <f>TVM!I42+KLM!I42+PTA!I42+ALP!I42+KTM!I42+IDK!I42+EKM!I42+TSR!I42+PLKD!I42+MLPM!I42+KKD!I42+WYND!I42+KNR!I42+KSRGD!I42+SHS!I42</f>
        <v>0</v>
      </c>
      <c r="J42" s="21">
        <f>TVM!J42+KLM!J42+PTA!J42+ALP!J42+KTM!J42+IDK!J42+EKM!J42+TSR!J42+PLKD!J42+MLPM!J42+KKD!J42+WYND!J42+KNR!J42+KSRGD!J42+SHS!J42</f>
        <v>0</v>
      </c>
      <c r="K42" s="21"/>
      <c r="L42" s="21">
        <f>TVM!L42+KLM!L42+PTA!L42+ALP!L42+KTM!L42+IDK!L42+EKM!L42+TSR!L42+PLKD!L42+MLPM!L42+KKD!L42+WYND!L42+KNR!L42+KSRGD!L42+SHS!L42</f>
        <v>0</v>
      </c>
      <c r="M42" s="21"/>
      <c r="N42" s="21">
        <f>TVM!N42+KLM!N42+PTA!N42+ALP!N42+KTM!N42+IDK!N42+EKM!N42+TSR!N42+PLKD!N42+MLPM!N42+KKD!N42+WYND!N42+KNR!N42+KSRGD!N42+SHS!N42</f>
        <v>0</v>
      </c>
      <c r="O42" s="22">
        <f>TVM!O42+KLM!O42+PTA!O42+ALP!O42+KTM!O42+IDK!O42+EKM!O42+TSR!O42+PLKD!O42+MLPM!O42+KKD!O42+WYND!O42+KNR!O42+KSRGD!O42+SHS!O42</f>
        <v>0</v>
      </c>
      <c r="P42" s="22">
        <f>TVM!P42+KLM!P42+PTA!P42+ALP!P42+KTM!P42+IDK!P42+EKM!P42+TSR!P42+PLKD!P42+MLPM!P42+KKD!P42+WYND!P42+KNR!P42+KSRGD!P42+SHS!P42</f>
        <v>0</v>
      </c>
      <c r="Q42" s="21"/>
      <c r="R42" s="21">
        <f>TVM!R42+KLM!R42+PTA!R42+ALP!R42+KTM!R42+IDK!R42+EKM!R42+TSR!R42+PLKD!R42+MLPM!R42+KKD!R42+WYND!R42+KNR!R42+KSRGD!R42+SHS!R42</f>
        <v>0</v>
      </c>
      <c r="S42" s="21"/>
      <c r="T42" s="45">
        <f>TVM!T42+KLM!T42+PTA!T42+ALP!T42+KTM!T42+IDK!T42+EKM!T42+TSR!T42+PLKD!T42+MLPM!T42+KKD!T42+WYND!T42+KNR!T42+KSRGD!T42+SHS!T42</f>
        <v>0</v>
      </c>
      <c r="U42" s="21"/>
      <c r="V42" s="21">
        <f>TVM!V42+KLM!V42+PTA!V42+ALP!V42+KTM!V42+IDK!V42+EKM!V42+TSR!V42+PLKD!V42+MLPM!V42+KKD!V42+WYND!V42+KNR!V42+KSRGD!V42+SHS!V42</f>
        <v>0</v>
      </c>
      <c r="W42" s="21"/>
      <c r="X42" s="22">
        <f t="shared" si="0"/>
        <v>0</v>
      </c>
      <c r="Y42" s="55"/>
    </row>
    <row r="43" spans="1:25" ht="173.25">
      <c r="A43" s="498"/>
      <c r="B43" s="498"/>
      <c r="C43" s="498"/>
      <c r="D43" s="43">
        <v>38</v>
      </c>
      <c r="E43" s="43" t="s">
        <v>72</v>
      </c>
      <c r="F43" s="21">
        <f>TVM!F43+KLM!F43+PTA!F43+ALP!F43+KTM!F43+IDK!F43+EKM!F43+TSR!F43+PLKD!F43+MLPM!F43+KKD!F43+WYND!F43+KNR!F43+KSRGD!F43+SHS!F43</f>
        <v>0</v>
      </c>
      <c r="G43" s="21"/>
      <c r="H43" s="21">
        <f>TVM!H43+KLM!H43+PTA!H43+ALP!H43+KTM!H43+IDK!H43+EKM!H43+TSR!H43+PLKD!H43+MLPM!H43+KKD!H43+WYND!H43+KNR!H43+KSRGD!H43+SHS!H43</f>
        <v>0</v>
      </c>
      <c r="I43" s="21">
        <f>TVM!I43+KLM!I43+PTA!I43+ALP!I43+KTM!I43+IDK!I43+EKM!I43+TSR!I43+PLKD!I43+MLPM!I43+KKD!I43+WYND!I43+KNR!I43+KSRGD!I43+SHS!I43</f>
        <v>0</v>
      </c>
      <c r="J43" s="21">
        <f>TVM!J43+KLM!J43+PTA!J43+ALP!J43+KTM!J43+IDK!J43+EKM!J43+TSR!J43+PLKD!J43+MLPM!J43+KKD!J43+WYND!J43+KNR!J43+KSRGD!J43+SHS!J43</f>
        <v>0</v>
      </c>
      <c r="K43" s="21"/>
      <c r="L43" s="21">
        <f>TVM!L43+KLM!L43+PTA!L43+ALP!L43+KTM!L43+IDK!L43+EKM!L43+TSR!L43+PLKD!L43+MLPM!L43+KKD!L43+WYND!L43+KNR!L43+KSRGD!L43+SHS!L43</f>
        <v>0</v>
      </c>
      <c r="M43" s="21"/>
      <c r="N43" s="21">
        <f>TVM!N43+KLM!N43+PTA!N43+ALP!N43+KTM!N43+IDK!N43+EKM!N43+TSR!N43+PLKD!N43+MLPM!N43+KKD!N43+WYND!N43+KNR!N43+KSRGD!N43+SHS!N43</f>
        <v>0</v>
      </c>
      <c r="O43" s="21">
        <f>TVM!O43+KLM!O43+PTA!O43+ALP!O43+KTM!O43+IDK!O43+EKM!O43+TSR!O43+PLKD!O43+MLPM!O43+KKD!O43+WYND!O43+KNR!O43+KSRGD!O43+SHS!O43</f>
        <v>0</v>
      </c>
      <c r="P43" s="21">
        <f>TVM!P43+KLM!P43+PTA!P43+ALP!P43+KTM!P43+IDK!P43+EKM!P43+TSR!P43+PLKD!P43+MLPM!P43+KKD!P43+WYND!P43+KNR!P43+KSRGD!P43+SHS!P43</f>
        <v>0</v>
      </c>
      <c r="Q43" s="21"/>
      <c r="R43" s="21">
        <f>TVM!R43+KLM!R43+PTA!R43+ALP!R43+KTM!R43+IDK!R43+EKM!R43+TSR!R43+PLKD!R43+MLPM!R43+KKD!R43+WYND!R43+KNR!R43+KSRGD!R43+SHS!R43</f>
        <v>0</v>
      </c>
      <c r="S43" s="21"/>
      <c r="T43" s="45">
        <f>TVM!T43+KLM!T43+PTA!T43+ALP!T43+KTM!T43+IDK!T43+EKM!T43+TSR!T43+PLKD!T43+MLPM!T43+KKD!T43+WYND!T43+KNR!T43+KSRGD!T43+SHS!T43</f>
        <v>41.709999999999994</v>
      </c>
      <c r="U43" s="21"/>
      <c r="V43" s="21">
        <f>TVM!V43+KLM!V43+PTA!V43+ALP!V43+KTM!V43+IDK!V43+EKM!V43+TSR!V43+PLKD!V43+MLPM!V43+KKD!V43+WYND!V43+KNR!V43+KSRGD!V43+SHS!V43</f>
        <v>0</v>
      </c>
      <c r="W43" s="21"/>
      <c r="X43" s="22">
        <f t="shared" si="0"/>
        <v>41.709999999999994</v>
      </c>
      <c r="Y43" s="46" t="s">
        <v>1245</v>
      </c>
    </row>
    <row r="44" spans="1:25" ht="63">
      <c r="A44" s="498"/>
      <c r="B44" s="498"/>
      <c r="C44" s="498"/>
      <c r="D44" s="43">
        <v>39</v>
      </c>
      <c r="E44" s="43" t="s">
        <v>74</v>
      </c>
      <c r="F44" s="21">
        <f>TVM!F44+KLM!F44+PTA!F44+ALP!F44+KTM!F44+IDK!F44+EKM!F44+TSR!F44+PLKD!F44+MLPM!F44+KKD!F44+WYND!F44+KNR!F44+KSRGD!F44+SHS!F44</f>
        <v>0</v>
      </c>
      <c r="G44" s="21"/>
      <c r="H44" s="21">
        <f>TVM!H44+KLM!H44+PTA!H44+ALP!H44+KTM!H44+IDK!H44+EKM!H44+TSR!H44+PLKD!H44+MLPM!H44+KKD!H44+WYND!H44+KNR!H44+KSRGD!H44+SHS!H44</f>
        <v>0</v>
      </c>
      <c r="I44" s="21">
        <f>TVM!I44+KLM!I44+PTA!I44+ALP!I44+KTM!I44+IDK!I44+EKM!I44+TSR!I44+PLKD!I44+MLPM!I44+KKD!I44+WYND!I44+KNR!I44+KSRGD!I44+SHS!I44</f>
        <v>0</v>
      </c>
      <c r="J44" s="21">
        <f>TVM!J44+KLM!J44+PTA!J44+ALP!J44+KTM!J44+IDK!J44+EKM!J44+TSR!J44+PLKD!J44+MLPM!J44+KKD!J44+WYND!J44+KNR!J44+KSRGD!J44+SHS!J44</f>
        <v>0</v>
      </c>
      <c r="K44" s="21"/>
      <c r="L44" s="21">
        <f>TVM!L44+KLM!L44+PTA!L44+ALP!L44+KTM!L44+IDK!L44+EKM!L44+TSR!L44+PLKD!L44+MLPM!L44+KKD!L44+WYND!L44+KNR!L44+KSRGD!L44+SHS!L44</f>
        <v>0</v>
      </c>
      <c r="M44" s="21"/>
      <c r="N44" s="21">
        <f>TVM!N44+KLM!N44+PTA!N44+ALP!N44+KTM!N44+IDK!N44+EKM!N44+TSR!N44+PLKD!N44+MLPM!N44+KKD!N44+WYND!N44+KNR!N44+KSRGD!N44+SHS!N44</f>
        <v>0</v>
      </c>
      <c r="O44" s="21">
        <f>TVM!O44+KLM!O44+PTA!O44+ALP!O44+KTM!O44+IDK!O44+EKM!O44+TSR!O44+PLKD!O44+MLPM!O44+KKD!O44+WYND!O44+KNR!O44+KSRGD!O44+SHS!O44</f>
        <v>0</v>
      </c>
      <c r="P44" s="21">
        <f>TVM!P44+KLM!P44+PTA!P44+ALP!P44+KTM!P44+IDK!P44+EKM!P44+TSR!P44+PLKD!P44+MLPM!P44+KKD!P44+WYND!P44+KNR!P44+KSRGD!P44+SHS!P44</f>
        <v>0</v>
      </c>
      <c r="Q44" s="21"/>
      <c r="R44" s="21">
        <f>TVM!R44+KLM!R44+PTA!R44+ALP!R44+KTM!R44+IDK!R44+EKM!R44+TSR!R44+PLKD!R44+MLPM!R44+KKD!R44+WYND!R44+KNR!R44+KSRGD!R44+SHS!R44</f>
        <v>0</v>
      </c>
      <c r="S44" s="21"/>
      <c r="T44" s="45">
        <f>TVM!T44+KLM!T44+PTA!T44+ALP!T44+KTM!T44+IDK!T44+EKM!T44+TSR!T44+PLKD!T44+MLPM!T44+KKD!T44+WYND!T44+KNR!T44+KSRGD!T44+SHS!T44</f>
        <v>0</v>
      </c>
      <c r="U44" s="21"/>
      <c r="V44" s="21">
        <f>TVM!V44+KLM!V44+PTA!V44+ALP!V44+KTM!V44+IDK!V44+EKM!V44+TSR!V44+PLKD!V44+MLPM!V44+KKD!V44+WYND!V44+KNR!V44+KSRGD!V44+SHS!V44</f>
        <v>0</v>
      </c>
      <c r="W44" s="21"/>
      <c r="X44" s="22">
        <f t="shared" si="0"/>
        <v>0</v>
      </c>
      <c r="Y44" s="46"/>
    </row>
    <row r="45" spans="1:25" ht="252">
      <c r="A45" s="498"/>
      <c r="B45" s="498"/>
      <c r="C45" s="498"/>
      <c r="D45" s="43">
        <v>40</v>
      </c>
      <c r="E45" s="43" t="s">
        <v>75</v>
      </c>
      <c r="F45" s="21">
        <f>TVM!F45+KLM!F45+PTA!F45+ALP!F45+KTM!F45+IDK!F45+EKM!F45+TSR!F45+PLKD!F45+MLPM!F45+KKD!F45+WYND!F45+KNR!F45+KSRGD!F45+SHS!F45</f>
        <v>0</v>
      </c>
      <c r="G45" s="21"/>
      <c r="H45" s="21">
        <f>TVM!H45+KLM!H45+PTA!H45+ALP!H45+KTM!H45+IDK!H45+EKM!H45+TSR!H45+PLKD!H45+MLPM!H45+KKD!H45+WYND!H45+KNR!H45+KSRGD!H45+SHS!H45</f>
        <v>0</v>
      </c>
      <c r="I45" s="21">
        <f>TVM!I45+KLM!I45+PTA!I45+ALP!I45+KTM!I45+IDK!I45+EKM!I45+TSR!I45+PLKD!I45+MLPM!I45+KKD!I45+WYND!I45+KNR!I45+KSRGD!I45+SHS!I45</f>
        <v>0</v>
      </c>
      <c r="J45" s="21">
        <f>TVM!J45+KLM!J45+PTA!J45+ALP!J45+KTM!J45+IDK!J45+EKM!J45+TSR!J45+PLKD!J45+MLPM!J45+KKD!J45+WYND!J45+KNR!J45+KSRGD!J45+SHS!J45</f>
        <v>0</v>
      </c>
      <c r="K45" s="21"/>
      <c r="L45" s="21">
        <f>TVM!L45+KLM!L45+PTA!L45+ALP!L45+KTM!L45+IDK!L45+EKM!L45+TSR!L45+PLKD!L45+MLPM!L45+KKD!L45+WYND!L45+KNR!L45+KSRGD!L45+SHS!L45</f>
        <v>0</v>
      </c>
      <c r="M45" s="21"/>
      <c r="N45" s="21">
        <f>TVM!N45+KLM!N45+PTA!N45+ALP!N45+KTM!N45+IDK!N45+EKM!N45+TSR!N45+PLKD!N45+MLPM!N45+KKD!N45+WYND!N45+KNR!N45+KSRGD!N45+SHS!N45</f>
        <v>0</v>
      </c>
      <c r="O45" s="21">
        <f>TVM!O45+KLM!O45+PTA!O45+ALP!O45+KTM!O45+IDK!O45+EKM!O45+TSR!O45+PLKD!O45+MLPM!O45+KKD!O45+WYND!O45+KNR!O45+KSRGD!O45+SHS!O45</f>
        <v>0</v>
      </c>
      <c r="P45" s="21">
        <f>TVM!P45+KLM!P45+PTA!P45+ALP!P45+KTM!P45+IDK!P45+EKM!P45+TSR!P45+PLKD!P45+MLPM!P45+KKD!P45+WYND!P45+KNR!P45+KSRGD!P45+SHS!P45</f>
        <v>0</v>
      </c>
      <c r="Q45" s="21"/>
      <c r="R45" s="21">
        <f>TVM!R45+KLM!R45+PTA!R45+ALP!R45+KTM!R45+IDK!R45+EKM!R45+TSR!R45+PLKD!R45+MLPM!R45+KKD!R45+WYND!R45+KNR!R45+KSRGD!R45+SHS!R45</f>
        <v>0</v>
      </c>
      <c r="S45" s="21"/>
      <c r="T45" s="45">
        <f>TVM!T45+KLM!T45+PTA!T45+ALP!T45+KTM!T45+IDK!T45+EKM!T45+TSR!T45+PLKD!T45+MLPM!T45+KKD!T45+WYND!T45+KNR!T45+KSRGD!T45+SHS!T45</f>
        <v>17.100000000000001</v>
      </c>
      <c r="U45" s="21"/>
      <c r="V45" s="21">
        <f>TVM!V45+KLM!V45+PTA!V45+ALP!V45+KTM!V45+IDK!V45+EKM!V45+TSR!V45+PLKD!V45+MLPM!V45+KKD!V45+WYND!V45+KNR!V45+KSRGD!V45+SHS!V45</f>
        <v>0</v>
      </c>
      <c r="W45" s="21"/>
      <c r="X45" s="22">
        <f t="shared" si="0"/>
        <v>17.100000000000001</v>
      </c>
      <c r="Y45" s="46" t="s">
        <v>1246</v>
      </c>
    </row>
    <row r="46" spans="1:25" ht="47.25">
      <c r="A46" s="498"/>
      <c r="B46" s="496"/>
      <c r="C46" s="496"/>
      <c r="D46" s="43">
        <v>41</v>
      </c>
      <c r="E46" s="43" t="s">
        <v>44</v>
      </c>
      <c r="F46" s="21">
        <f>TVM!F46+KLM!F46+PTA!F46+ALP!F46+KTM!F46+IDK!F46+EKM!F46+TSR!F46+PLKD!F46+MLPM!F46+KKD!F46+WYND!F46+KNR!F46+KSRGD!F46+SHS!F46</f>
        <v>0</v>
      </c>
      <c r="G46" s="21"/>
      <c r="H46" s="21">
        <f>TVM!H46+KLM!H46+PTA!H46+ALP!H46+KTM!H46+IDK!H46+EKM!H46+TSR!H46+PLKD!H46+MLPM!H46+KKD!H46+WYND!H46+KNR!H46+KSRGD!H46+SHS!H46</f>
        <v>0</v>
      </c>
      <c r="I46" s="21">
        <f>TVM!I46+KLM!I46+PTA!I46+ALP!I46+KTM!I46+IDK!I46+EKM!I46+TSR!I46+PLKD!I46+MLPM!I46+KKD!I46+WYND!I46+KNR!I46+KSRGD!I46+SHS!I46</f>
        <v>0</v>
      </c>
      <c r="J46" s="21">
        <f>TVM!J46+KLM!J46+PTA!J46+ALP!J46+KTM!J46+IDK!J46+EKM!J46+TSR!J46+PLKD!J46+MLPM!J46+KKD!J46+WYND!J46+KNR!J46+KSRGD!J46+SHS!J46</f>
        <v>0</v>
      </c>
      <c r="K46" s="21"/>
      <c r="L46" s="21">
        <f>TVM!L46+KLM!L46+PTA!L46+ALP!L46+KTM!L46+IDK!L46+EKM!L46+TSR!L46+PLKD!L46+MLPM!L46+KKD!L46+WYND!L46+KNR!L46+KSRGD!L46+SHS!L46</f>
        <v>0</v>
      </c>
      <c r="M46" s="21"/>
      <c r="N46" s="21">
        <f>TVM!N46+KLM!N46+PTA!N46+ALP!N46+KTM!N46+IDK!N46+EKM!N46+TSR!N46+PLKD!N46+MLPM!N46+KKD!N46+WYND!N46+KNR!N46+KSRGD!N46+SHS!N46</f>
        <v>0</v>
      </c>
      <c r="O46" s="21">
        <f>TVM!O46+KLM!O46+PTA!O46+ALP!O46+KTM!O46+IDK!O46+EKM!O46+TSR!O46+PLKD!O46+MLPM!O46+KKD!O46+WYND!O46+KNR!O46+KSRGD!O46+SHS!O46</f>
        <v>0</v>
      </c>
      <c r="P46" s="21">
        <f>TVM!P46+KLM!P46+PTA!P46+ALP!P46+KTM!P46+IDK!P46+EKM!P46+TSR!P46+PLKD!P46+MLPM!P46+KKD!P46+WYND!P46+KNR!P46+KSRGD!P46+SHS!P46</f>
        <v>0</v>
      </c>
      <c r="Q46" s="21"/>
      <c r="R46" s="21">
        <f>TVM!R46+KLM!R46+PTA!R46+ALP!R46+KTM!R46+IDK!R46+EKM!R46+TSR!R46+PLKD!R46+MLPM!R46+KKD!R46+WYND!R46+KNR!R46+KSRGD!R46+SHS!R46</f>
        <v>0</v>
      </c>
      <c r="S46" s="21"/>
      <c r="T46" s="45">
        <f>TVM!T46+KLM!T46+PTA!T46+ALP!T46+KTM!T46+IDK!T46+EKM!T46+TSR!T46+PLKD!T46+MLPM!T46+KKD!T46+WYND!T46+KNR!T46+KSRGD!T46+SHS!T46</f>
        <v>0</v>
      </c>
      <c r="U46" s="21"/>
      <c r="V46" s="21">
        <f>TVM!V46+KLM!V46+PTA!V46+ALP!V46+KTM!V46+IDK!V46+EKM!V46+TSR!V46+PLKD!V46+MLPM!V46+KKD!V46+WYND!V46+KNR!V46+KSRGD!V46+SHS!V46</f>
        <v>0</v>
      </c>
      <c r="W46" s="21"/>
      <c r="X46" s="22">
        <f t="shared" si="0"/>
        <v>0</v>
      </c>
      <c r="Y46" s="46"/>
    </row>
    <row r="47" spans="1:25" ht="141.75">
      <c r="A47" s="498"/>
      <c r="B47" s="497" t="s">
        <v>76</v>
      </c>
      <c r="C47" s="497" t="s">
        <v>77</v>
      </c>
      <c r="D47" s="43">
        <v>42</v>
      </c>
      <c r="E47" s="43" t="s">
        <v>78</v>
      </c>
      <c r="F47" s="48">
        <f>(TVM!F47+KLM!F47+PTA!F47+ALP!F47+KTM!F47+IDK!F47+EKM!F47+TSR!F47+PLKD!F47+MLPM!F47+KKD!F47+WYND!F47+KNR!F47+KSRGD!F47+SHS!F47)</f>
        <v>86.573999999999998</v>
      </c>
      <c r="G47" s="21"/>
      <c r="H47" s="21">
        <f>TVM!H47+KLM!H47+PTA!H47+ALP!H47+KTM!H47+IDK!H47+EKM!H47+TSR!H47+PLKD!H47+MLPM!H47+KKD!H47+WYND!H47+KNR!H47+KSRGD!H47+SHS!H47</f>
        <v>0</v>
      </c>
      <c r="I47" s="21">
        <f>TVM!I47+KLM!I47+PTA!I47+ALP!I47+KTM!I47+IDK!I47+EKM!I47+TSR!I47+PLKD!I47+MLPM!I47+KKD!I47+WYND!I47+KNR!I47+KSRGD!I47+SHS!I47</f>
        <v>0</v>
      </c>
      <c r="J47" s="21">
        <f>TVM!J47+KLM!J47+PTA!J47+ALP!J47+KTM!J47+IDK!J47+EKM!J47+TSR!J47+PLKD!J47+MLPM!J47+KKD!J47+WYND!J47+KNR!J47+KSRGD!J47+SHS!J47</f>
        <v>0</v>
      </c>
      <c r="K47" s="21"/>
      <c r="L47" s="22">
        <f>TVM!L47+KLM!L47+PTA!L47+ALP!L47+KTM!L47+IDK!L47+EKM!L47+TSR!L47+PLKD!L47+MLPM!L47+KKD!L47+WYND!L47+KNR!L47+KSRGD!L47+SHS!L47</f>
        <v>424</v>
      </c>
      <c r="M47" s="21"/>
      <c r="N47" s="21">
        <f>TVM!N47+KLM!N47+PTA!N47+ALP!N47+KTM!N47+IDK!N47+EKM!N47+TSR!N47+PLKD!N47+MLPM!N47+KKD!N47+WYND!N47+KNR!N47+KSRGD!N47+SHS!N47</f>
        <v>0</v>
      </c>
      <c r="O47" s="21">
        <f>TVM!O47+KLM!O47+PTA!O47+ALP!O47+KTM!O47+IDK!O47+EKM!O47+TSR!O47+PLKD!O47+MLPM!O47+KKD!O47+WYND!O47+KNR!O47+KSRGD!O47+SHS!O47</f>
        <v>0</v>
      </c>
      <c r="P47" s="21">
        <f>TVM!P47+KLM!P47+PTA!P47+ALP!P47+KTM!P47+IDK!P47+EKM!P47+TSR!P47+PLKD!P47+MLPM!P47+KKD!P47+WYND!P47+KNR!P47+KSRGD!P47+SHS!P47</f>
        <v>0</v>
      </c>
      <c r="Q47" s="21"/>
      <c r="R47" s="21">
        <f>TVM!R47+KLM!R47+PTA!R47+ALP!R47+KTM!R47+IDK!R47+EKM!R47+TSR!R47+PLKD!R47+MLPM!R47+KKD!R47+WYND!R47+KNR!R47+KSRGD!R47+SHS!R47</f>
        <v>0</v>
      </c>
      <c r="S47" s="21"/>
      <c r="T47" s="45">
        <f>TVM!T47+KLM!T47+PTA!T47+ALP!T47+KTM!T47+IDK!T47+EKM!T47+TSR!T47+PLKD!T47+MLPM!T47+KKD!T47+WYND!T47+KNR!T47+KSRGD!T47+SHS!T47</f>
        <v>0</v>
      </c>
      <c r="U47" s="21"/>
      <c r="V47" s="21">
        <f>TVM!V47+KLM!V47+PTA!V47+ALP!V47+KTM!V47+IDK!V47+EKM!V47+TSR!V47+PLKD!V47+MLPM!V47+KKD!V47+WYND!V47+KNR!V47+KSRGD!V47+SHS!V47</f>
        <v>0</v>
      </c>
      <c r="W47" s="21"/>
      <c r="X47" s="54">
        <f t="shared" si="0"/>
        <v>510.57400000000001</v>
      </c>
      <c r="Y47" s="55" t="s">
        <v>463</v>
      </c>
    </row>
    <row r="48" spans="1:25" ht="39" customHeight="1">
      <c r="A48" s="498"/>
      <c r="B48" s="498"/>
      <c r="C48" s="498"/>
      <c r="D48" s="43">
        <v>43</v>
      </c>
      <c r="E48" s="43" t="s">
        <v>79</v>
      </c>
      <c r="F48" s="48">
        <f>TVM!F48+KLM!F48+PTA!F48+ALP!F48+KTM!F48+IDK!F48+EKM!F48+TSR!F48+PLKD!F48+MLPM!F48+KKD!F48+WYND!F48+KNR!F48+KSRGD!F48+SHS!F48</f>
        <v>5.7199999999999989</v>
      </c>
      <c r="G48" s="21"/>
      <c r="H48" s="21">
        <f>TVM!H48+KLM!H48+PTA!H48+ALP!H48+KTM!H48+IDK!H48+EKM!H48+TSR!H48+PLKD!H48+MLPM!H48+KKD!H48+WYND!H48+KNR!H48+KSRGD!H48+SHS!H48</f>
        <v>0</v>
      </c>
      <c r="I48" s="21">
        <f>TVM!I48+KLM!I48+PTA!I48+ALP!I48+KTM!I48+IDK!I48+EKM!I48+TSR!I48+PLKD!I48+MLPM!I48+KKD!I48+WYND!I48+KNR!I48+KSRGD!I48+SHS!I48</f>
        <v>0</v>
      </c>
      <c r="J48" s="21">
        <f>TVM!J48+KLM!J48+PTA!J48+ALP!J48+KTM!J48+IDK!J48+EKM!J48+TSR!J48+PLKD!J48+MLPM!J48+KKD!J48+WYND!J48+KNR!J48+KSRGD!J48+SHS!J48</f>
        <v>0</v>
      </c>
      <c r="K48" s="21"/>
      <c r="L48" s="22">
        <f>TVM!L48+KLM!L48+PTA!L48+ALP!L48+KTM!L48+IDK!L48+EKM!L48+TSR!L48+PLKD!L48+MLPM!L48+KKD!L48+WYND!L48+KNR!L48+KSRGD!L48+SHS!L48</f>
        <v>0</v>
      </c>
      <c r="M48" s="21"/>
      <c r="N48" s="21">
        <f>TVM!N48+KLM!N48+PTA!N48+ALP!N48+KTM!N48+IDK!N48+EKM!N48+TSR!N48+PLKD!N48+MLPM!N48+KKD!N48+WYND!N48+KNR!N48+KSRGD!N48+SHS!N48</f>
        <v>0</v>
      </c>
      <c r="O48" s="21">
        <f>TVM!O48+KLM!O48+PTA!O48+ALP!O48+KTM!O48+IDK!O48+EKM!O48+TSR!O48+PLKD!O48+MLPM!O48+KKD!O48+WYND!O48+KNR!O48+KSRGD!O48+SHS!O48</f>
        <v>0</v>
      </c>
      <c r="P48" s="21">
        <f>TVM!P48+KLM!P48+PTA!P48+ALP!P48+KTM!P48+IDK!P48+EKM!P48+TSR!P48+PLKD!P48+MLPM!P48+KKD!P48+WYND!P48+KNR!P48+KSRGD!P48+SHS!P48</f>
        <v>0</v>
      </c>
      <c r="Q48" s="21"/>
      <c r="R48" s="21">
        <f>TVM!R48+KLM!R48+PTA!R48+ALP!R48+KTM!R48+IDK!R48+EKM!R48+TSR!R48+PLKD!R48+MLPM!R48+KKD!R48+WYND!R48+KNR!R48+KSRGD!R48+SHS!R48</f>
        <v>0</v>
      </c>
      <c r="S48" s="21"/>
      <c r="T48" s="45">
        <f>TVM!T48+KLM!T48+PTA!T48+ALP!T48+KTM!T48+IDK!T48+EKM!T48+TSR!T48+PLKD!T48+MLPM!T48+KKD!T48+WYND!T48+KNR!T48+KSRGD!T48+SHS!T48</f>
        <v>0</v>
      </c>
      <c r="U48" s="21"/>
      <c r="V48" s="21">
        <f>TVM!V48+KLM!V48+PTA!V48+ALP!V48+KTM!V48+IDK!V48+EKM!V48+TSR!V48+PLKD!V48+MLPM!V48+KKD!V48+WYND!V48+KNR!V48+KSRGD!V48+SHS!V48</f>
        <v>0</v>
      </c>
      <c r="W48" s="21"/>
      <c r="X48" s="54">
        <f t="shared" si="0"/>
        <v>5.7199999999999989</v>
      </c>
      <c r="Y48" s="55" t="s">
        <v>464</v>
      </c>
    </row>
    <row r="49" spans="1:25" ht="63">
      <c r="A49" s="498"/>
      <c r="B49" s="498"/>
      <c r="C49" s="498"/>
      <c r="D49" s="43">
        <v>44</v>
      </c>
      <c r="E49" s="43" t="s">
        <v>80</v>
      </c>
      <c r="F49" s="48">
        <f>TVM!F49+KLM!F49+PTA!F49+ALP!F49+KTM!F49+IDK!F49+EKM!F49+TSR!F49+PLKD!F49+MLPM!F49+KKD!F49+WYND!F49+KNR!F49+KSRGD!F49+SHS!F49</f>
        <v>7.1259999999999986</v>
      </c>
      <c r="G49" s="21"/>
      <c r="H49" s="21">
        <f>TVM!H49+KLM!H49+PTA!H49+ALP!H49+KTM!H49+IDK!H49+EKM!H49+TSR!H49+PLKD!H49+MLPM!H49+KKD!H49+WYND!H49+KNR!H49+KSRGD!H49+SHS!H49</f>
        <v>0</v>
      </c>
      <c r="I49" s="21">
        <f>TVM!I49+KLM!I49+PTA!I49+ALP!I49+KTM!I49+IDK!I49+EKM!I49+TSR!I49+PLKD!I49+MLPM!I49+KKD!I49+WYND!I49+KNR!I49+KSRGD!I49+SHS!I49</f>
        <v>0</v>
      </c>
      <c r="J49" s="21">
        <f>TVM!J49+KLM!J49+PTA!J49+ALP!J49+KTM!J49+IDK!J49+EKM!J49+TSR!J49+PLKD!J49+MLPM!J49+KKD!J49+WYND!J49+KNR!J49+KSRGD!J49+SHS!J49</f>
        <v>0</v>
      </c>
      <c r="K49" s="21"/>
      <c r="L49" s="22">
        <f>TVM!L49+KLM!L49+PTA!L49+ALP!L49+KTM!L49+IDK!L49+EKM!L49+TSR!L49+PLKD!L49+MLPM!L49+KKD!L49+WYND!L49+KNR!L49+KSRGD!L49+SHS!L49</f>
        <v>0</v>
      </c>
      <c r="M49" s="21"/>
      <c r="N49" s="21">
        <f>TVM!N49+KLM!N49+PTA!N49+ALP!N49+KTM!N49+IDK!N49+EKM!N49+TSR!N49+PLKD!N49+MLPM!N49+KKD!N49+WYND!N49+KNR!N49+KSRGD!N49+SHS!N49</f>
        <v>0</v>
      </c>
      <c r="O49" s="21">
        <f>TVM!O49+KLM!O49+PTA!O49+ALP!O49+KTM!O49+IDK!O49+EKM!O49+TSR!O49+PLKD!O49+MLPM!O49+KKD!O49+WYND!O49+KNR!O49+KSRGD!O49+SHS!O49</f>
        <v>0</v>
      </c>
      <c r="P49" s="21">
        <f>TVM!P49+KLM!P49+PTA!P49+ALP!P49+KTM!P49+IDK!P49+EKM!P49+TSR!P49+PLKD!P49+MLPM!P49+KKD!P49+WYND!P49+KNR!P49+KSRGD!P49+SHS!P49</f>
        <v>0</v>
      </c>
      <c r="Q49" s="21"/>
      <c r="R49" s="21">
        <f>TVM!R49+KLM!R49+PTA!R49+ALP!R49+KTM!R49+IDK!R49+EKM!R49+TSR!R49+PLKD!R49+MLPM!R49+KKD!R49+WYND!R49+KNR!R49+KSRGD!R49+SHS!R49</f>
        <v>0</v>
      </c>
      <c r="S49" s="21"/>
      <c r="T49" s="45">
        <f>TVM!T49+KLM!T49+PTA!T49+ALP!T49+KTM!T49+IDK!T49+EKM!T49+TSR!T49+PLKD!T49+MLPM!T49+KKD!T49+WYND!T49+KNR!T49+KSRGD!T49+SHS!T49</f>
        <v>0</v>
      </c>
      <c r="U49" s="21"/>
      <c r="V49" s="21">
        <f>TVM!V49+KLM!V49+PTA!V49+ALP!V49+KTM!V49+IDK!V49+EKM!V49+TSR!V49+PLKD!V49+MLPM!V49+KKD!V49+WYND!V49+KNR!V49+KSRGD!V49+SHS!V49</f>
        <v>0</v>
      </c>
      <c r="W49" s="21"/>
      <c r="X49" s="54">
        <f t="shared" si="0"/>
        <v>7.1259999999999986</v>
      </c>
      <c r="Y49" s="55" t="s">
        <v>465</v>
      </c>
    </row>
    <row r="50" spans="1:25" ht="48" customHeight="1">
      <c r="A50" s="498"/>
      <c r="B50" s="498"/>
      <c r="C50" s="498"/>
      <c r="D50" s="43">
        <v>45</v>
      </c>
      <c r="E50" s="43" t="s">
        <v>81</v>
      </c>
      <c r="F50" s="48">
        <f>TVM!F50+KLM!F50+PTA!F50+ALP!F50+KTM!F50+IDK!F50+EKM!F50+TSR!F50+PLKD!F50+MLPM!F50+KKD!F50+WYND!F50+KNR!F50+KSRGD!F50+SHS!F50</f>
        <v>2.7460000000000004</v>
      </c>
      <c r="G50" s="21"/>
      <c r="H50" s="21">
        <f>TVM!H50+KLM!H50+PTA!H50+ALP!H50+KTM!H50+IDK!H50+EKM!H50+TSR!H50+PLKD!H50+MLPM!H50+KKD!H50+WYND!H50+KNR!H50+KSRGD!H50+SHS!H50</f>
        <v>0</v>
      </c>
      <c r="I50" s="21">
        <f>TVM!I50+KLM!I50+PTA!I50+ALP!I50+KTM!I50+IDK!I50+EKM!I50+TSR!I50+PLKD!I50+MLPM!I50+KKD!I50+WYND!I50+KNR!I50+KSRGD!I50+SHS!I50</f>
        <v>0</v>
      </c>
      <c r="J50" s="21">
        <f>TVM!J50+KLM!J50+PTA!J50+ALP!J50+KTM!J50+IDK!J50+EKM!J50+TSR!J50+PLKD!J50+MLPM!J50+KKD!J50+WYND!J50+KNR!J50+KSRGD!J50+SHS!J50</f>
        <v>0</v>
      </c>
      <c r="K50" s="21"/>
      <c r="L50" s="21">
        <f>TVM!L50+KLM!L50+PTA!L50+ALP!L50+KTM!L50+IDK!L50+EKM!L50+TSR!L50+PLKD!L50+MLPM!L50+KKD!L50+WYND!L50+KNR!L50+KSRGD!L50+SHS!L50</f>
        <v>0</v>
      </c>
      <c r="M50" s="21"/>
      <c r="N50" s="21">
        <f>TVM!N50+KLM!N50+PTA!N50+ALP!N50+KTM!N50+IDK!N50+EKM!N50+TSR!N50+PLKD!N50+MLPM!N50+KKD!N50+WYND!N50+KNR!N50+KSRGD!N50+SHS!N50</f>
        <v>0</v>
      </c>
      <c r="O50" s="21">
        <f>TVM!O50+KLM!O50+PTA!O50+ALP!O50+KTM!O50+IDK!O50+EKM!O50+TSR!O50+PLKD!O50+MLPM!O50+KKD!O50+WYND!O50+KNR!O50+KSRGD!O50+SHS!O50</f>
        <v>0</v>
      </c>
      <c r="P50" s="21">
        <f>TVM!P50+KLM!P50+PTA!P50+ALP!P50+KTM!P50+IDK!P50+EKM!P50+TSR!P50+PLKD!P50+MLPM!P50+KKD!P50+WYND!P50+KNR!P50+KSRGD!P50+SHS!P50</f>
        <v>0</v>
      </c>
      <c r="Q50" s="21"/>
      <c r="R50" s="21">
        <f>TVM!R50+KLM!R50+PTA!R50+ALP!R50+KTM!R50+IDK!R50+EKM!R50+TSR!R50+PLKD!R50+MLPM!R50+KKD!R50+WYND!R50+KNR!R50+KSRGD!R50+SHS!R50</f>
        <v>0</v>
      </c>
      <c r="S50" s="21"/>
      <c r="T50" s="45">
        <f>TVM!T50+KLM!T50+PTA!T50+ALP!T50+KTM!T50+IDK!T50+EKM!T50+TSR!T50+PLKD!T50+MLPM!T50+KKD!T50+WYND!T50+KNR!T50+KSRGD!T50+SHS!T50</f>
        <v>0</v>
      </c>
      <c r="U50" s="21"/>
      <c r="V50" s="21">
        <f>TVM!V50+KLM!V50+PTA!V50+ALP!V50+KTM!V50+IDK!V50+EKM!V50+TSR!V50+PLKD!V50+MLPM!V50+KKD!V50+WYND!V50+KNR!V50+KSRGD!V50+SHS!V50</f>
        <v>0</v>
      </c>
      <c r="W50" s="21"/>
      <c r="X50" s="54">
        <f t="shared" si="0"/>
        <v>2.7460000000000004</v>
      </c>
      <c r="Y50" s="55" t="s">
        <v>466</v>
      </c>
    </row>
    <row r="51" spans="1:25" ht="31.5">
      <c r="A51" s="498"/>
      <c r="B51" s="498"/>
      <c r="C51" s="498"/>
      <c r="D51" s="43">
        <v>46</v>
      </c>
      <c r="E51" s="43" t="s">
        <v>82</v>
      </c>
      <c r="F51" s="21">
        <f>TVM!F51+KLM!F51+PTA!F51+ALP!F51+KTM!F51+IDK!F51+EKM!F51+TSR!F51+PLKD!F51+MLPM!F51+KKD!F51+WYND!F51+KNR!F51+KSRGD!F51+SHS!F51</f>
        <v>0</v>
      </c>
      <c r="G51" s="21"/>
      <c r="H51" s="21">
        <f>TVM!H51+KLM!H51+PTA!H51+ALP!H51+KTM!H51+IDK!H51+EKM!H51+TSR!H51+PLKD!H51+MLPM!H51+KKD!H51+WYND!H51+KNR!H51+KSRGD!H51+SHS!H51</f>
        <v>0</v>
      </c>
      <c r="I51" s="21">
        <f>TVM!I51+KLM!I51+PTA!I51+ALP!I51+KTM!I51+IDK!I51+EKM!I51+TSR!I51+PLKD!I51+MLPM!I51+KKD!I51+WYND!I51+KNR!I51+KSRGD!I51+SHS!I51</f>
        <v>0</v>
      </c>
      <c r="J51" s="21">
        <f>TVM!J51+KLM!J51+PTA!J51+ALP!J51+KTM!J51+IDK!J51+EKM!J51+TSR!J51+PLKD!J51+MLPM!J51+KKD!J51+WYND!J51+KNR!J51+KSRGD!J51+SHS!J51</f>
        <v>0</v>
      </c>
      <c r="K51" s="21"/>
      <c r="L51" s="21">
        <f>TVM!L51+KLM!L51+PTA!L51+ALP!L51+KTM!L51+IDK!L51+EKM!L51+TSR!L51+PLKD!L51+MLPM!L51+KKD!L51+WYND!L51+KNR!L51+KSRGD!L51+SHS!L51</f>
        <v>0</v>
      </c>
      <c r="M51" s="21"/>
      <c r="N51" s="21">
        <f>TVM!N51+KLM!N51+PTA!N51+ALP!N51+KTM!N51+IDK!N51+EKM!N51+TSR!N51+PLKD!N51+MLPM!N51+KKD!N51+WYND!N51+KNR!N51+KSRGD!N51+SHS!N51</f>
        <v>0</v>
      </c>
      <c r="O51" s="21">
        <f>TVM!O51+KLM!O51+PTA!O51+ALP!O51+KTM!O51+IDK!O51+EKM!O51+TSR!O51+PLKD!O51+MLPM!O51+KKD!O51+WYND!O51+KNR!O51+KSRGD!O51+SHS!O51</f>
        <v>0</v>
      </c>
      <c r="P51" s="21">
        <f>TVM!P51+KLM!P51+PTA!P51+ALP!P51+KTM!P51+IDK!P51+EKM!P51+TSR!P51+PLKD!P51+MLPM!P51+KKD!P51+WYND!P51+KNR!P51+KSRGD!P51+SHS!P51</f>
        <v>0</v>
      </c>
      <c r="Q51" s="21"/>
      <c r="R51" s="21">
        <f>TVM!R51+KLM!R51+PTA!R51+ALP!R51+KTM!R51+IDK!R51+EKM!R51+TSR!R51+PLKD!R51+MLPM!R51+KKD!R51+WYND!R51+KNR!R51+KSRGD!R51+SHS!R51</f>
        <v>0</v>
      </c>
      <c r="S51" s="21"/>
      <c r="T51" s="45">
        <f>TVM!T51+KLM!T51+PTA!T51+ALP!T51+KTM!T51+IDK!T51+EKM!T51+TSR!T51+PLKD!T51+MLPM!T51+KKD!T51+WYND!T51+KNR!T51+KSRGD!T51+SHS!T51</f>
        <v>0</v>
      </c>
      <c r="U51" s="21"/>
      <c r="V51" s="21">
        <f>TVM!V51+KLM!V51+PTA!V51+ALP!V51+KTM!V51+IDK!V51+EKM!V51+TSR!V51+PLKD!V51+MLPM!V51+KKD!V51+WYND!V51+KNR!V51+KSRGD!V51+SHS!V51</f>
        <v>0</v>
      </c>
      <c r="W51" s="21"/>
      <c r="X51" s="22">
        <f t="shared" si="0"/>
        <v>0</v>
      </c>
      <c r="Y51" s="46"/>
    </row>
    <row r="52" spans="1:25" ht="37.5" customHeight="1">
      <c r="A52" s="498"/>
      <c r="B52" s="498"/>
      <c r="C52" s="498"/>
      <c r="D52" s="43">
        <v>47</v>
      </c>
      <c r="E52" s="43" t="s">
        <v>83</v>
      </c>
      <c r="F52" s="48">
        <f>TVM!F52+KLM!F52+PTA!F52+ALP!F52+KTM!F52+IDK!F52+EKM!F52+TSR!F52+PLKD!F52+MLPM!F52+KKD!F52+WYND!F52+KNR!F52+KSRGD!F52+SHS!F52</f>
        <v>48.3</v>
      </c>
      <c r="G52" s="21"/>
      <c r="H52" s="21">
        <f>TVM!H52+KLM!H52+PTA!H52+ALP!H52+KTM!H52+IDK!H52+EKM!H52+TSR!H52+PLKD!H52+MLPM!H52+KKD!H52+WYND!H52+KNR!H52+KSRGD!H52+SHS!H52</f>
        <v>0</v>
      </c>
      <c r="I52" s="21">
        <f>TVM!I52+KLM!I52+PTA!I52+ALP!I52+KTM!I52+IDK!I52+EKM!I52+TSR!I52+PLKD!I52+MLPM!I52+KKD!I52+WYND!I52+KNR!I52+KSRGD!I52+SHS!I52</f>
        <v>0</v>
      </c>
      <c r="J52" s="21">
        <f>TVM!J52+KLM!J52+PTA!J52+ALP!J52+KTM!J52+IDK!J52+EKM!J52+TSR!J52+PLKD!J52+MLPM!J52+KKD!J52+WYND!J52+KNR!J52+KSRGD!J52+SHS!J52</f>
        <v>0</v>
      </c>
      <c r="K52" s="21"/>
      <c r="L52" s="21">
        <f>TVM!L52+KLM!L52+PTA!L52+ALP!L52+KTM!L52+IDK!L52+EKM!L52+TSR!L52+PLKD!L52+MLPM!L52+KKD!L52+WYND!L52+KNR!L52+KSRGD!L52+SHS!L52</f>
        <v>0</v>
      </c>
      <c r="M52" s="21"/>
      <c r="N52" s="21">
        <f>TVM!N52+KLM!N52+PTA!N52+ALP!N52+KTM!N52+IDK!N52+EKM!N52+TSR!N52+PLKD!N52+MLPM!N52+KKD!N52+WYND!N52+KNR!N52+KSRGD!N52+SHS!N52</f>
        <v>0</v>
      </c>
      <c r="O52" s="21">
        <f>TVM!O52+KLM!O52+PTA!O52+ALP!O52+KTM!O52+IDK!O52+EKM!O52+TSR!O52+PLKD!O52+MLPM!O52+KKD!O52+WYND!O52+KNR!O52+KSRGD!O52+SHS!O52</f>
        <v>0</v>
      </c>
      <c r="P52" s="21">
        <f>TVM!P52+KLM!P52+PTA!P52+ALP!P52+KTM!P52+IDK!P52+EKM!P52+TSR!P52+PLKD!P52+MLPM!P52+KKD!P52+WYND!P52+KNR!P52+KSRGD!P52+SHS!P52</f>
        <v>0</v>
      </c>
      <c r="Q52" s="21"/>
      <c r="R52" s="21">
        <f>TVM!R52+KLM!R52+PTA!R52+ALP!R52+KTM!R52+IDK!R52+EKM!R52+TSR!R52+PLKD!R52+MLPM!R52+KKD!R52+WYND!R52+KNR!R52+KSRGD!R52+SHS!R52</f>
        <v>0</v>
      </c>
      <c r="S52" s="21"/>
      <c r="T52" s="45">
        <f>TVM!T52+KLM!T52+PTA!T52+ALP!T52+KTM!T52+IDK!T52+EKM!T52+TSR!T52+PLKD!T52+MLPM!T52+KKD!T52+WYND!T52+KNR!T52+KSRGD!T52+SHS!T52</f>
        <v>0</v>
      </c>
      <c r="U52" s="21"/>
      <c r="V52" s="21">
        <f>TVM!V52+KLM!V52+PTA!V52+ALP!V52+KTM!V52+IDK!V52+EKM!V52+TSR!V52+PLKD!V52+MLPM!V52+KKD!V52+WYND!V52+KNR!V52+KSRGD!V52+SHS!V52</f>
        <v>0</v>
      </c>
      <c r="W52" s="21"/>
      <c r="X52" s="22">
        <f t="shared" si="0"/>
        <v>48.3</v>
      </c>
      <c r="Y52" s="46" t="s">
        <v>467</v>
      </c>
    </row>
    <row r="53" spans="1:25" ht="15.75">
      <c r="A53" s="498"/>
      <c r="B53" s="498"/>
      <c r="C53" s="498"/>
      <c r="D53" s="43">
        <v>48</v>
      </c>
      <c r="E53" s="43" t="s">
        <v>84</v>
      </c>
      <c r="F53" s="21">
        <f>TVM!F53+KLM!F53+PTA!F53+ALP!F53+KTM!F53+IDK!F53+EKM!F53+TSR!F53+PLKD!F53+MLPM!F53+KKD!F53+WYND!F53+KNR!F53+KSRGD!F53+SHS!F53</f>
        <v>0</v>
      </c>
      <c r="G53" s="21"/>
      <c r="H53" s="21">
        <f>TVM!H53+KLM!H53+PTA!H53+ALP!H53+KTM!H53+IDK!H53+EKM!H53+TSR!H53+PLKD!H53+MLPM!H53+KKD!H53+WYND!H53+KNR!H53+KSRGD!H53+SHS!H53</f>
        <v>0</v>
      </c>
      <c r="I53" s="21">
        <f>TVM!I53+KLM!I53+PTA!I53+ALP!I53+KTM!I53+IDK!I53+EKM!I53+TSR!I53+PLKD!I53+MLPM!I53+KKD!I53+WYND!I53+KNR!I53+KSRGD!I53+SHS!I53</f>
        <v>0</v>
      </c>
      <c r="J53" s="21">
        <f>TVM!J53+KLM!J53+PTA!J53+ALP!J53+KTM!J53+IDK!J53+EKM!J53+TSR!J53+PLKD!J53+MLPM!J53+KKD!J53+WYND!J53+KNR!J53+KSRGD!J53+SHS!J53</f>
        <v>0</v>
      </c>
      <c r="K53" s="21"/>
      <c r="L53" s="21">
        <f>TVM!L53+KLM!L53+PTA!L53+ALP!L53+KTM!L53+IDK!L53+EKM!L53+TSR!L53+PLKD!L53+MLPM!L53+KKD!L53+WYND!L53+KNR!L53+KSRGD!L53+SHS!L53</f>
        <v>0</v>
      </c>
      <c r="M53" s="21"/>
      <c r="N53" s="21">
        <f>TVM!N53+KLM!N53+PTA!N53+ALP!N53+KTM!N53+IDK!N53+EKM!N53+TSR!N53+PLKD!N53+MLPM!N53+KKD!N53+WYND!N53+KNR!N53+KSRGD!N53+SHS!N53</f>
        <v>0</v>
      </c>
      <c r="O53" s="21">
        <f>TVM!O53+KLM!O53+PTA!O53+ALP!O53+KTM!O53+IDK!O53+EKM!O53+TSR!O53+PLKD!O53+MLPM!O53+KKD!O53+WYND!O53+KNR!O53+KSRGD!O53+SHS!O53</f>
        <v>0</v>
      </c>
      <c r="P53" s="21">
        <f>TVM!P53+KLM!P53+PTA!P53+ALP!P53+KTM!P53+IDK!P53+EKM!P53+TSR!P53+PLKD!P53+MLPM!P53+KKD!P53+WYND!P53+KNR!P53+KSRGD!P53+SHS!P53</f>
        <v>0</v>
      </c>
      <c r="Q53" s="21"/>
      <c r="R53" s="21">
        <f>TVM!R53+KLM!R53+PTA!R53+ALP!R53+KTM!R53+IDK!R53+EKM!R53+TSR!R53+PLKD!R53+MLPM!R53+KKD!R53+WYND!R53+KNR!R53+KSRGD!R53+SHS!R53</f>
        <v>0</v>
      </c>
      <c r="S53" s="21"/>
      <c r="T53" s="45">
        <f>TVM!T53+KLM!T53+PTA!T53+ALP!T53+KTM!T53+IDK!T53+EKM!T53+TSR!T53+PLKD!T53+MLPM!T53+KKD!T53+WYND!T53+KNR!T53+KSRGD!T53+SHS!T53</f>
        <v>0</v>
      </c>
      <c r="U53" s="21"/>
      <c r="V53" s="21">
        <f>TVM!V53+KLM!V53+PTA!V53+ALP!V53+KTM!V53+IDK!V53+EKM!V53+TSR!V53+PLKD!V53+MLPM!V53+KKD!V53+WYND!V53+KNR!V53+KSRGD!V53+SHS!V53</f>
        <v>0</v>
      </c>
      <c r="W53" s="21"/>
      <c r="X53" s="22">
        <f t="shared" si="0"/>
        <v>0</v>
      </c>
      <c r="Y53" s="46"/>
    </row>
    <row r="54" spans="1:25" ht="47.25">
      <c r="A54" s="498"/>
      <c r="B54" s="498"/>
      <c r="C54" s="498"/>
      <c r="D54" s="43">
        <v>49</v>
      </c>
      <c r="E54" s="43" t="s">
        <v>85</v>
      </c>
      <c r="F54" s="21">
        <f>TVM!F54+KLM!F54+PTA!F54+ALP!F54+KTM!F54+IDK!F54+EKM!F54+TSR!F54+PLKD!F54+MLPM!F54+KKD!F54+WYND!F54+KNR!F54+KSRGD!F54+SHS!F54</f>
        <v>0</v>
      </c>
      <c r="G54" s="21"/>
      <c r="H54" s="21">
        <f>TVM!H54+KLM!H54+PTA!H54+ALP!H54+KTM!H54+IDK!H54+EKM!H54+TSR!H54+PLKD!H54+MLPM!H54+KKD!H54+WYND!H54+KNR!H54+KSRGD!H54+SHS!H54</f>
        <v>0</v>
      </c>
      <c r="I54" s="21">
        <f>TVM!I54+KLM!I54+PTA!I54+ALP!I54+KTM!I54+IDK!I54+EKM!I54+TSR!I54+PLKD!I54+MLPM!I54+KKD!I54+WYND!I54+KNR!I54+KSRGD!I54+SHS!I54</f>
        <v>0</v>
      </c>
      <c r="J54" s="21">
        <f>TVM!J54+KLM!J54+PTA!J54+ALP!J54+KTM!J54+IDK!J54+EKM!J54+TSR!J54+PLKD!J54+MLPM!J54+KKD!J54+WYND!J54+KNR!J54+KSRGD!J54+SHS!J54</f>
        <v>0</v>
      </c>
      <c r="K54" s="21"/>
      <c r="L54" s="21">
        <f>TVM!L54+KLM!L54+PTA!L54+ALP!L54+KTM!L54+IDK!L54+EKM!L54+TSR!L54+PLKD!L54+MLPM!L54+KKD!L54+WYND!L54+KNR!L54+KSRGD!L54+SHS!L54</f>
        <v>0</v>
      </c>
      <c r="M54" s="21"/>
      <c r="N54" s="21">
        <f>TVM!N54+KLM!N54+PTA!N54+ALP!N54+KTM!N54+IDK!N54+EKM!N54+TSR!N54+PLKD!N54+MLPM!N54+KKD!N54+WYND!N54+KNR!N54+KSRGD!N54+SHS!N54</f>
        <v>0</v>
      </c>
      <c r="O54" s="21">
        <f>TVM!O54+KLM!O54+PTA!O54+ALP!O54+KTM!O54+IDK!O54+EKM!O54+TSR!O54+PLKD!O54+MLPM!O54+KKD!O54+WYND!O54+KNR!O54+KSRGD!O54+SHS!O54</f>
        <v>0</v>
      </c>
      <c r="P54" s="21">
        <f>TVM!P54+KLM!P54+PTA!P54+ALP!P54+KTM!P54+IDK!P54+EKM!P54+TSR!P54+PLKD!P54+MLPM!P54+KKD!P54+WYND!P54+KNR!P54+KSRGD!P54+SHS!P54</f>
        <v>0</v>
      </c>
      <c r="Q54" s="21"/>
      <c r="R54" s="21">
        <f>TVM!R54+KLM!R54+PTA!R54+ALP!R54+KTM!R54+IDK!R54+EKM!R54+TSR!R54+PLKD!R54+MLPM!R54+KKD!R54+WYND!R54+KNR!R54+KSRGD!R54+SHS!R54</f>
        <v>0</v>
      </c>
      <c r="S54" s="21"/>
      <c r="T54" s="45">
        <f>TVM!T54+KLM!T54+PTA!T54+ALP!T54+KTM!T54+IDK!T54+EKM!T54+TSR!T54+PLKD!T54+MLPM!T54+KKD!T54+WYND!T54+KNR!T54+KSRGD!T54+SHS!T54</f>
        <v>0</v>
      </c>
      <c r="U54" s="21"/>
      <c r="V54" s="21">
        <f>TVM!V54+KLM!V54+PTA!V54+ALP!V54+KTM!V54+IDK!V54+EKM!V54+TSR!V54+PLKD!V54+MLPM!V54+KKD!V54+WYND!V54+KNR!V54+KSRGD!V54+SHS!V54</f>
        <v>0</v>
      </c>
      <c r="W54" s="21"/>
      <c r="X54" s="22">
        <f t="shared" si="0"/>
        <v>0</v>
      </c>
      <c r="Y54" s="46"/>
    </row>
    <row r="55" spans="1:25" ht="47.25">
      <c r="A55" s="498"/>
      <c r="B55" s="498"/>
      <c r="C55" s="498"/>
      <c r="D55" s="43">
        <v>50</v>
      </c>
      <c r="E55" s="43" t="s">
        <v>86</v>
      </c>
      <c r="F55" s="21">
        <f>TVM!F55+KLM!F55+PTA!F55+ALP!F55+KTM!F55+IDK!F55+EKM!F55+TSR!F55+PLKD!F55+MLPM!F55+KKD!F55+WYND!F55+KNR!F55+KSRGD!F55+SHS!F55</f>
        <v>0</v>
      </c>
      <c r="G55" s="21"/>
      <c r="H55" s="21">
        <f>TVM!H55+KLM!H55+PTA!H55+ALP!H55+KTM!H55+IDK!H55+EKM!H55+TSR!H55+PLKD!H55+MLPM!H55+KKD!H55+WYND!H55+KNR!H55+KSRGD!H55+SHS!H55</f>
        <v>0</v>
      </c>
      <c r="I55" s="21">
        <f>TVM!I55+KLM!I55+PTA!I55+ALP!I55+KTM!I55+IDK!I55+EKM!I55+TSR!I55+PLKD!I55+MLPM!I55+KKD!I55+WYND!I55+KNR!I55+KSRGD!I55+SHS!I55</f>
        <v>0</v>
      </c>
      <c r="J55" s="21">
        <f>TVM!J55+KLM!J55+PTA!J55+ALP!J55+KTM!J55+IDK!J55+EKM!J55+TSR!J55+PLKD!J55+MLPM!J55+KKD!J55+WYND!J55+KNR!J55+KSRGD!J55+SHS!J55</f>
        <v>0</v>
      </c>
      <c r="K55" s="21"/>
      <c r="L55" s="22">
        <f>TVM!L55+KLM!L55+PTA!L55+ALP!L55+KTM!L55+IDK!L55+EKM!L55+TSR!L55+PLKD!L55+MLPM!L55+KKD!L55+WYND!L55+KNR!L55+KSRGD!L55+SHS!L55</f>
        <v>0</v>
      </c>
      <c r="M55" s="21"/>
      <c r="N55" s="21">
        <f>TVM!N55+KLM!N55+PTA!N55+ALP!N55+KTM!N55+IDK!N55+EKM!N55+TSR!N55+PLKD!N55+MLPM!N55+KKD!N55+WYND!N55+KNR!N55+KSRGD!N55+SHS!N55</f>
        <v>0</v>
      </c>
      <c r="O55" s="21">
        <f>TVM!O55+KLM!O55+PTA!O55+ALP!O55+KTM!O55+IDK!O55+EKM!O55+TSR!O55+PLKD!O55+MLPM!O55+KKD!O55+WYND!O55+KNR!O55+KSRGD!O55+SHS!O55</f>
        <v>5</v>
      </c>
      <c r="P55" s="21">
        <f>TVM!P55+KLM!P55+PTA!P55+ALP!P55+KTM!P55+IDK!P55+EKM!P55+TSR!P55+PLKD!P55+MLPM!P55+KKD!P55+WYND!P55+KNR!P55+KSRGD!P55+SHS!P55</f>
        <v>5</v>
      </c>
      <c r="Q55" s="23"/>
      <c r="R55" s="21">
        <f>TVM!R55+KLM!R55+PTA!R55+ALP!R55+KTM!R55+IDK!R55+EKM!R55+TSR!R55+PLKD!R55+MLPM!R55+KKD!R55+WYND!R55+KNR!R55+KSRGD!R55+SHS!R55</f>
        <v>0</v>
      </c>
      <c r="S55" s="21"/>
      <c r="T55" s="45">
        <f>TVM!T55+KLM!T55+PTA!T55+ALP!T55+KTM!T55+IDK!T55+EKM!T55+TSR!T55+PLKD!T55+MLPM!T55+KKD!T55+WYND!T55+KNR!T55+KSRGD!T55+SHS!T55</f>
        <v>0</v>
      </c>
      <c r="U55" s="21"/>
      <c r="V55" s="21">
        <f>TVM!V55+KLM!V55+PTA!V55+ALP!V55+KTM!V55+IDK!V55+EKM!V55+TSR!V55+PLKD!V55+MLPM!V55+KKD!V55+WYND!V55+KNR!V55+KSRGD!V55+SHS!V55</f>
        <v>0</v>
      </c>
      <c r="W55" s="21"/>
      <c r="X55" s="22">
        <f t="shared" si="0"/>
        <v>5</v>
      </c>
      <c r="Y55" s="23" t="s">
        <v>468</v>
      </c>
    </row>
    <row r="56" spans="1:25" ht="47.25">
      <c r="A56" s="498"/>
      <c r="B56" s="496"/>
      <c r="C56" s="496"/>
      <c r="D56" s="43">
        <v>51</v>
      </c>
      <c r="E56" s="43" t="s">
        <v>44</v>
      </c>
      <c r="F56" s="21">
        <f>TVM!F56+KLM!F56+PTA!F56+ALP!F56+KTM!F56+IDK!F56+EKM!F56+TSR!F56+PLKD!F56+MLPM!F56+KKD!F56+WYND!F56+KNR!F56+KSRGD!F56+SHS!F56</f>
        <v>0</v>
      </c>
      <c r="G56" s="21"/>
      <c r="H56" s="21">
        <f>TVM!H56+KLM!H56+PTA!H56+ALP!H56+KTM!H56+IDK!H56+EKM!H56+TSR!H56+PLKD!H56+MLPM!H56+KKD!H56+WYND!H56+KNR!H56+KSRGD!H56+SHS!H56</f>
        <v>0</v>
      </c>
      <c r="I56" s="21">
        <f>TVM!I56+KLM!I56+PTA!I56+ALP!I56+KTM!I56+IDK!I56+EKM!I56+TSR!I56+PLKD!I56+MLPM!I56+KKD!I56+WYND!I56+KNR!I56+KSRGD!I56+SHS!I56</f>
        <v>0</v>
      </c>
      <c r="J56" s="21">
        <f>TVM!J56+KLM!J56+PTA!J56+ALP!J56+KTM!J56+IDK!J56+EKM!J56+TSR!J56+PLKD!J56+MLPM!J56+KKD!J56+WYND!J56+KNR!J56+KSRGD!J56+SHS!J56</f>
        <v>0</v>
      </c>
      <c r="K56" s="21"/>
      <c r="L56" s="21">
        <f>TVM!L56+KLM!L56+PTA!L56+ALP!L56+KTM!L56+IDK!L56+EKM!L56+TSR!L56+PLKD!L56+MLPM!L56+KKD!L56+WYND!L56+KNR!L56+KSRGD!L56+SHS!L56</f>
        <v>0</v>
      </c>
      <c r="M56" s="21"/>
      <c r="N56" s="21">
        <f>TVM!N56+KLM!N56+PTA!N56+ALP!N56+KTM!N56+IDK!N56+EKM!N56+TSR!N56+PLKD!N56+MLPM!N56+KKD!N56+WYND!N56+KNR!N56+KSRGD!N56+SHS!N56</f>
        <v>0</v>
      </c>
      <c r="O56" s="21">
        <f>TVM!O56+KLM!O56+PTA!O56+ALP!O56+KTM!O56+IDK!O56+EKM!O56+TSR!O56+PLKD!O56+MLPM!O56+KKD!O56+WYND!O56+KNR!O56+KSRGD!O56+SHS!O56</f>
        <v>0</v>
      </c>
      <c r="P56" s="21">
        <f>TVM!P56+KLM!P56+PTA!P56+ALP!P56+KTM!P56+IDK!P56+EKM!P56+TSR!P56+PLKD!P56+MLPM!P56+KKD!P56+WYND!P56+KNR!P56+KSRGD!P56+SHS!P56</f>
        <v>0</v>
      </c>
      <c r="Q56" s="21"/>
      <c r="R56" s="21">
        <f>TVM!R56+KLM!R56+PTA!R56+ALP!R56+KTM!R56+IDK!R56+EKM!R56+TSR!R56+PLKD!R56+MLPM!R56+KKD!R56+WYND!R56+KNR!R56+KSRGD!R56+SHS!R56</f>
        <v>0</v>
      </c>
      <c r="S56" s="21"/>
      <c r="T56" s="45">
        <f>TVM!T56+KLM!T56+PTA!T56+ALP!T56+KTM!T56+IDK!T56+EKM!T56+TSR!T56+PLKD!T56+MLPM!T56+KKD!T56+WYND!T56+KNR!T56+KSRGD!T56+SHS!T56</f>
        <v>0</v>
      </c>
      <c r="U56" s="21"/>
      <c r="V56" s="21">
        <f>TVM!V56+KLM!V56+PTA!V56+ALP!V56+KTM!V56+IDK!V56+EKM!V56+TSR!V56+PLKD!V56+MLPM!V56+KKD!V56+WYND!V56+KNR!V56+KSRGD!V56+SHS!V56</f>
        <v>0</v>
      </c>
      <c r="W56" s="21"/>
      <c r="X56" s="22">
        <f t="shared" si="0"/>
        <v>0</v>
      </c>
      <c r="Y56" s="46"/>
    </row>
    <row r="57" spans="1:25" ht="409.5">
      <c r="A57" s="498"/>
      <c r="B57" s="497" t="s">
        <v>87</v>
      </c>
      <c r="C57" s="497" t="s">
        <v>88</v>
      </c>
      <c r="D57" s="43">
        <v>52</v>
      </c>
      <c r="E57" s="43" t="s">
        <v>89</v>
      </c>
      <c r="F57" s="21">
        <f>TVM!F57+KLM!F57+PTA!F57+ALP!F57+KTM!F57+IDK!F57+EKM!F57+TSR!F57+PLKD!F57+MLPM!F57+KKD!F57+WYND!F57+KNR!F57+KSRGD!F57+SHS!F57</f>
        <v>0</v>
      </c>
      <c r="G57" s="21"/>
      <c r="H57" s="21">
        <f>TVM!H57+KLM!H57+PTA!H57+ALP!H57+KTM!H57+IDK!H57+EKM!H57+TSR!H57+PLKD!H57+MLPM!H57+KKD!H57+WYND!H57+KNR!H57+KSRGD!H57+SHS!H57</f>
        <v>0</v>
      </c>
      <c r="I57" s="21">
        <f>TVM!I57+KLM!I57+PTA!I57+ALP!I57+KTM!I57+IDK!I57+EKM!I57+TSR!I57+PLKD!I57+MLPM!I57+KKD!I57+WYND!I57+KNR!I57+KSRGD!I57+SHS!I57</f>
        <v>0</v>
      </c>
      <c r="J57" s="21">
        <f>TVM!J57+KLM!J57+PTA!J57+ALP!J57+KTM!J57+IDK!J57+EKM!J57+TSR!J57+PLKD!J57+MLPM!J57+KKD!J57+WYND!J57+KNR!J57+KSRGD!J57+SHS!J57</f>
        <v>0</v>
      </c>
      <c r="K57" s="21"/>
      <c r="L57" s="22">
        <f>TVM!L57+KLM!L57+PTA!L57+ALP!L57+KTM!L57+IDK!L57+EKM!L57+TSR!L57+PLKD!L57+MLPM!L57+KKD!L57+WYND!L57+KNR!L57+KSRGD!L57+SHS!L57</f>
        <v>0</v>
      </c>
      <c r="M57" s="21"/>
      <c r="N57" s="21">
        <f>TVM!N57+KLM!N57+PTA!N57+ALP!N57+KTM!N57+IDK!N57+EKM!N57+TSR!N57+PLKD!N57+MLPM!N57+KKD!N57+WYND!N57+KNR!N57+KSRGD!N57+SHS!N57</f>
        <v>0</v>
      </c>
      <c r="O57" s="22">
        <f>TVM!O57+KLM!O57+PTA!O57+ALP!O57+KTM!O57+IDK!O57+EKM!O57+TSR!O57+PLKD!O57+MLPM!O57+KKD!O57+WYND!O57+KNR!O57+KSRGD!O57+SHS!O57</f>
        <v>809.83000000000015</v>
      </c>
      <c r="P57" s="22">
        <f>TVM!P57+KLM!P57+PTA!P57+ALP!P57+KTM!P57+IDK!P57+EKM!P57+TSR!P57+PLKD!P57+MLPM!P57+KKD!P57+WYND!P57+KNR!P57+KSRGD!P57+SHS!P57</f>
        <v>809.83000000000015</v>
      </c>
      <c r="Q57" s="21"/>
      <c r="R57" s="21">
        <f>TVM!R57+KLM!R57+PTA!R57+ALP!R57+KTM!R57+IDK!R57+EKM!R57+TSR!R57+PLKD!R57+MLPM!R57+KKD!R57+WYND!R57+KNR!R57+KSRGD!R57+SHS!R57</f>
        <v>0</v>
      </c>
      <c r="S57" s="21"/>
      <c r="T57" s="45">
        <f>TVM!T57+KLM!T57+PTA!T57+ALP!T57+KTM!T57+IDK!T57+EKM!T57+TSR!T57+PLKD!T57+MLPM!T57+KKD!T57+WYND!T57+KNR!T57+KSRGD!T57+SHS!T57</f>
        <v>0</v>
      </c>
      <c r="U57" s="21"/>
      <c r="V57" s="21">
        <f>TVM!V57+KLM!V57+PTA!V57+ALP!V57+KTM!V57+IDK!V57+EKM!V57+TSR!V57+PLKD!V57+MLPM!V57+KKD!V57+WYND!V57+KNR!V57+KSRGD!V57+SHS!V57</f>
        <v>0</v>
      </c>
      <c r="W57" s="21"/>
      <c r="X57" s="22">
        <f t="shared" si="0"/>
        <v>809.83000000000015</v>
      </c>
      <c r="Y57" s="46" t="s">
        <v>469</v>
      </c>
    </row>
    <row r="58" spans="1:25" ht="78.75">
      <c r="A58" s="498"/>
      <c r="B58" s="498"/>
      <c r="C58" s="498"/>
      <c r="D58" s="43">
        <v>53</v>
      </c>
      <c r="E58" s="43" t="s">
        <v>90</v>
      </c>
      <c r="F58" s="21">
        <f>TVM!F58+KLM!F58+PTA!F58+ALP!F58+KTM!F58+IDK!F58+EKM!F58+TSR!F58+PLKD!F58+MLPM!F58+KKD!F58+WYND!F58+KNR!F58+KSRGD!F58+SHS!F58</f>
        <v>0</v>
      </c>
      <c r="G58" s="21"/>
      <c r="H58" s="21">
        <f>TVM!H58+KLM!H58+PTA!H58+ALP!H58+KTM!H58+IDK!H58+EKM!H58+TSR!H58+PLKD!H58+MLPM!H58+KKD!H58+WYND!H58+KNR!H58+KSRGD!H58+SHS!H58</f>
        <v>0</v>
      </c>
      <c r="I58" s="21">
        <f>TVM!I58+KLM!I58+PTA!I58+ALP!I58+KTM!I58+IDK!I58+EKM!I58+TSR!I58+PLKD!I58+MLPM!I58+KKD!I58+WYND!I58+KNR!I58+KSRGD!I58+SHS!I58</f>
        <v>0</v>
      </c>
      <c r="J58" s="21">
        <f>TVM!J58+KLM!J58+PTA!J58+ALP!J58+KTM!J58+IDK!J58+EKM!J58+TSR!J58+PLKD!J58+MLPM!J58+KKD!J58+WYND!J58+KNR!J58+KSRGD!J58+SHS!J58</f>
        <v>0</v>
      </c>
      <c r="K58" s="21"/>
      <c r="L58" s="21">
        <f>TVM!L58+KLM!L58+PTA!L58+ALP!L58+KTM!L58+IDK!L58+EKM!L58+TSR!L58+PLKD!L58+MLPM!L58+KKD!L58+WYND!L58+KNR!L58+KSRGD!L58+SHS!L58</f>
        <v>0</v>
      </c>
      <c r="M58" s="21"/>
      <c r="N58" s="21">
        <f>TVM!N58+KLM!N58+PTA!N58+ALP!N58+KTM!N58+IDK!N58+EKM!N58+TSR!N58+PLKD!N58+MLPM!N58+KKD!N58+WYND!N58+KNR!N58+KSRGD!N58+SHS!N58</f>
        <v>0</v>
      </c>
      <c r="O58" s="22">
        <f>TVM!O58+KLM!O58+PTA!O58+ALP!O58+KTM!O58+IDK!O58+EKM!O58+TSR!O58+PLKD!O58+MLPM!O58+KKD!O58+WYND!O58+KNR!O58+KSRGD!O58+SHS!O58</f>
        <v>107.33</v>
      </c>
      <c r="P58" s="22">
        <f>TVM!P58+KLM!P58+PTA!P58+ALP!P58+KTM!P58+IDK!P58+EKM!P58+TSR!P58+PLKD!P58+MLPM!P58+KKD!P58+WYND!P58+KNR!P58+KSRGD!P58+SHS!P58</f>
        <v>107.33</v>
      </c>
      <c r="Q58" s="21"/>
      <c r="R58" s="21">
        <f>TVM!R58+KLM!R58+PTA!R58+ALP!R58+KTM!R58+IDK!R58+EKM!R58+TSR!R58+PLKD!R58+MLPM!R58+KKD!R58+WYND!R58+KNR!R58+KSRGD!R58+SHS!R58</f>
        <v>0</v>
      </c>
      <c r="S58" s="21"/>
      <c r="T58" s="45">
        <f>TVM!T58+KLM!T58+PTA!T58+ALP!T58+KTM!T58+IDK!T58+EKM!T58+TSR!T58+PLKD!T58+MLPM!T58+KKD!T58+WYND!T58+KNR!T58+KSRGD!T58+SHS!T58</f>
        <v>0</v>
      </c>
      <c r="U58" s="21"/>
      <c r="V58" s="21">
        <f>TVM!V58+KLM!V58+PTA!V58+ALP!V58+KTM!V58+IDK!V58+EKM!V58+TSR!V58+PLKD!V58+MLPM!V58+KKD!V58+WYND!V58+KNR!V58+KSRGD!V58+SHS!V58</f>
        <v>0</v>
      </c>
      <c r="W58" s="21"/>
      <c r="X58" s="22">
        <f t="shared" si="0"/>
        <v>107.33</v>
      </c>
      <c r="Y58" s="46" t="s">
        <v>470</v>
      </c>
    </row>
    <row r="59" spans="1:25" ht="378">
      <c r="A59" s="498"/>
      <c r="B59" s="498"/>
      <c r="C59" s="498"/>
      <c r="D59" s="43">
        <v>54</v>
      </c>
      <c r="E59" s="43" t="s">
        <v>91</v>
      </c>
      <c r="F59" s="21">
        <f>TVM!F59+KLM!F59+PTA!F59+ALP!F59+KTM!F59+IDK!F59+EKM!F59+TSR!F59+PLKD!F59+MLPM!F59+KKD!F59+WYND!F59+KNR!F59+KSRGD!F59+SHS!F59</f>
        <v>0</v>
      </c>
      <c r="G59" s="21"/>
      <c r="H59" s="21">
        <f>TVM!H59+KLM!H59+PTA!H59+ALP!H59+KTM!H59+IDK!H59+EKM!H59+TSR!H59+PLKD!H59+MLPM!H59+KKD!H59+WYND!H59+KNR!H59+KSRGD!H59+SHS!H59</f>
        <v>0</v>
      </c>
      <c r="I59" s="48">
        <f>TVM!I59+KLM!I59+PTA!I59+ALP!I59+KTM!I59+IDK!I59+EKM!I59+TSR!I59+PLKD!I59+MLPM!I59+KKD!I59+WYND!I59+KNR!I59+KSRGD!I59+SHS!I59</f>
        <v>0</v>
      </c>
      <c r="J59" s="48">
        <f>TVM!J59+KLM!J59+PTA!J59+ALP!J59+KTM!J59+IDK!J59+EKM!J59+TSR!J59+PLKD!J59+MLPM!J59+KKD!J59+WYND!J59+KNR!J59+KSRGD!J59+SHS!J59</f>
        <v>0</v>
      </c>
      <c r="K59" s="21"/>
      <c r="L59" s="21">
        <f>TVM!L59+KLM!L59+PTA!L59+ALP!L59+KTM!L59+IDK!L59+EKM!L59+TSR!L59+PLKD!L59+MLPM!L59+KKD!L59+WYND!L59+KNR!L59+KSRGD!L59+SHS!L59</f>
        <v>0</v>
      </c>
      <c r="M59" s="21"/>
      <c r="N59" s="21">
        <f>TVM!N59+KLM!N59+PTA!N59+ALP!N59+KTM!N59+IDK!N59+EKM!N59+TSR!N59+PLKD!N59+MLPM!N59+KKD!N59+WYND!N59+KNR!N59+KSRGD!N59+SHS!N59</f>
        <v>0</v>
      </c>
      <c r="O59" s="21">
        <f>TVM!O59+KLM!O59+PTA!O59+ALP!O59+KTM!O59+IDK!O59+EKM!O59+TSR!O59+PLKD!O59+MLPM!O59+KKD!O59+WYND!O59+KNR!O59+KSRGD!O59+SHS!O59</f>
        <v>0</v>
      </c>
      <c r="P59" s="21">
        <f>TVM!P59+KLM!P59+PTA!P59+ALP!P59+KTM!P59+IDK!P59+EKM!P59+TSR!P59+PLKD!P59+MLPM!P59+KKD!P59+WYND!P59+KNR!P59+KSRGD!P59+SHS!P59</f>
        <v>0</v>
      </c>
      <c r="Q59" s="21"/>
      <c r="R59" s="21">
        <f>TVM!R59+KLM!R59+PTA!R59+ALP!R59+KTM!R59+IDK!R59+EKM!R59+TSR!R59+PLKD!R59+MLPM!R59+KKD!R59+WYND!R59+KNR!R59+KSRGD!R59+SHS!R59</f>
        <v>0</v>
      </c>
      <c r="S59" s="21"/>
      <c r="T59" s="45">
        <f>TVM!T59+KLM!T59+PTA!T59+ALP!T59+KTM!T59+IDK!T59+EKM!T59+TSR!T59+PLKD!T59+MLPM!T59+KKD!T59+WYND!T59+KNR!T59+KSRGD!T59+SHS!T59</f>
        <v>20</v>
      </c>
      <c r="U59" s="21"/>
      <c r="V59" s="21">
        <f>TVM!V59+KLM!V59+PTA!V59+ALP!V59+KTM!V59+IDK!V59+EKM!V59+TSR!V59+PLKD!V59+MLPM!V59+KKD!V59+WYND!V59+KNR!V59+KSRGD!V59+SHS!V59</f>
        <v>0</v>
      </c>
      <c r="W59" s="21"/>
      <c r="X59" s="50">
        <f t="shared" si="0"/>
        <v>20</v>
      </c>
      <c r="Y59" s="51" t="s">
        <v>1247</v>
      </c>
    </row>
    <row r="60" spans="1:25" ht="141.75">
      <c r="A60" s="498"/>
      <c r="B60" s="498"/>
      <c r="C60" s="498"/>
      <c r="D60" s="43">
        <v>55</v>
      </c>
      <c r="E60" s="43" t="s">
        <v>93</v>
      </c>
      <c r="F60" s="21">
        <f>TVM!F60+KLM!F60+PTA!F60+ALP!F60+KTM!F60+IDK!F60+EKM!F60+TSR!F60+PLKD!F60+MLPM!F60+KKD!F60+WYND!F60+KNR!F60+KSRGD!F60+SHS!F60</f>
        <v>0</v>
      </c>
      <c r="G60" s="21"/>
      <c r="H60" s="21">
        <f>TVM!H60+KLM!H60+PTA!H60+ALP!H60+KTM!H60+IDK!H60+EKM!H60+TSR!H60+PLKD!H60+MLPM!H60+KKD!H60+WYND!H60+KNR!H60+KSRGD!H60+SHS!H60</f>
        <v>0</v>
      </c>
      <c r="I60" s="21">
        <f>TVM!I60+KLM!I60+PTA!I60+ALP!I60+KTM!I60+IDK!I60+EKM!I60+TSR!I60+PLKD!I60+MLPM!I60+KKD!I60+WYND!I60+KNR!I60+KSRGD!I60+SHS!I60</f>
        <v>0</v>
      </c>
      <c r="J60" s="21">
        <f>TVM!J60+KLM!J60+PTA!J60+ALP!J60+KTM!J60+IDK!J60+EKM!J60+TSR!J60+PLKD!J60+MLPM!J60+KKD!J60+WYND!J60+KNR!J60+KSRGD!J60+SHS!J60</f>
        <v>0</v>
      </c>
      <c r="K60" s="21"/>
      <c r="L60" s="21">
        <f>TVM!L60+KLM!L60+PTA!L60+ALP!L60+KTM!L60+IDK!L60+EKM!L60+TSR!L60+PLKD!L60+MLPM!L60+KKD!L60+WYND!L60+KNR!L60+KSRGD!L60+SHS!L60</f>
        <v>0</v>
      </c>
      <c r="M60" s="21"/>
      <c r="N60" s="21">
        <f>TVM!N60+KLM!N60+PTA!N60+ALP!N60+KTM!N60+IDK!N60+EKM!N60+TSR!N60+PLKD!N60+MLPM!N60+KKD!N60+WYND!N60+KNR!N60+KSRGD!N60+SHS!N60</f>
        <v>0</v>
      </c>
      <c r="O60" s="22">
        <f>TVM!O60+KLM!O60+PTA!O60+ALP!O60+KTM!O60+IDK!O60+EKM!O60+TSR!O60+PLKD!O60+MLPM!O60+KKD!O60+WYND!O60+KNR!O60+KSRGD!O60+SHS!O60</f>
        <v>25.3</v>
      </c>
      <c r="P60" s="22">
        <f>TVM!P60+KLM!P60+PTA!P60+ALP!P60+KTM!P60+IDK!P60+EKM!P60+TSR!P60+PLKD!P60+MLPM!P60+KKD!P60+WYND!P60+KNR!P60+KSRGD!P60+SHS!P60</f>
        <v>25.3</v>
      </c>
      <c r="Q60" s="21"/>
      <c r="R60" s="21">
        <f>TVM!R60+KLM!R60+PTA!R60+ALP!R60+KTM!R60+IDK!R60+EKM!R60+TSR!R60+PLKD!R60+MLPM!R60+KKD!R60+WYND!R60+KNR!R60+KSRGD!R60+SHS!R60</f>
        <v>0</v>
      </c>
      <c r="S60" s="21"/>
      <c r="T60" s="45">
        <f>TVM!T60+KLM!T60+PTA!T60+ALP!T60+KTM!T60+IDK!T60+EKM!T60+TSR!T60+PLKD!T60+MLPM!T60+KKD!T60+WYND!T60+KNR!T60+KSRGD!T60+SHS!T60</f>
        <v>0</v>
      </c>
      <c r="U60" s="21"/>
      <c r="V60" s="21">
        <f>TVM!V60+KLM!V60+PTA!V60+ALP!V60+KTM!V60+IDK!V60+EKM!V60+TSR!V60+PLKD!V60+MLPM!V60+KKD!V60+WYND!V60+KNR!V60+KSRGD!V60+SHS!V60</f>
        <v>0</v>
      </c>
      <c r="W60" s="21"/>
      <c r="X60" s="22">
        <f t="shared" si="0"/>
        <v>25.3</v>
      </c>
      <c r="Y60" s="46" t="s">
        <v>471</v>
      </c>
    </row>
    <row r="61" spans="1:25" ht="31.5">
      <c r="A61" s="498"/>
      <c r="B61" s="498"/>
      <c r="C61" s="498"/>
      <c r="D61" s="43">
        <v>56</v>
      </c>
      <c r="E61" s="43" t="s">
        <v>94</v>
      </c>
      <c r="F61" s="21">
        <f>TVM!F61+KLM!F61+PTA!F61+ALP!F61+KTM!F61+IDK!F61+EKM!F61+TSR!F61+PLKD!F61+MLPM!F61+KKD!F61+WYND!F61+KNR!F61+KSRGD!F61+SHS!F61</f>
        <v>0</v>
      </c>
      <c r="G61" s="21"/>
      <c r="H61" s="21">
        <f>TVM!H61+KLM!H61+PTA!H61+ALP!H61+KTM!H61+IDK!H61+EKM!H61+TSR!H61+PLKD!H61+MLPM!H61+KKD!H61+WYND!H61+KNR!H61+KSRGD!H61+SHS!H61</f>
        <v>0</v>
      </c>
      <c r="I61" s="21">
        <f>TVM!I61+KLM!I61+PTA!I61+ALP!I61+KTM!I61+IDK!I61+EKM!I61+TSR!I61+PLKD!I61+MLPM!I61+KKD!I61+WYND!I61+KNR!I61+KSRGD!I61+SHS!I61</f>
        <v>0</v>
      </c>
      <c r="J61" s="21">
        <f>TVM!J61+KLM!J61+PTA!J61+ALP!J61+KTM!J61+IDK!J61+EKM!J61+TSR!J61+PLKD!J61+MLPM!J61+KKD!J61+WYND!J61+KNR!J61+KSRGD!J61+SHS!J61</f>
        <v>0</v>
      </c>
      <c r="K61" s="21"/>
      <c r="L61" s="21">
        <f>TVM!L61+KLM!L61+PTA!L61+ALP!L61+KTM!L61+IDK!L61+EKM!L61+TSR!L61+PLKD!L61+MLPM!L61+KKD!L61+WYND!L61+KNR!L61+KSRGD!L61+SHS!L61</f>
        <v>0</v>
      </c>
      <c r="M61" s="21"/>
      <c r="N61" s="21">
        <f>TVM!N61+KLM!N61+PTA!N61+ALP!N61+KTM!N61+IDK!N61+EKM!N61+TSR!N61+PLKD!N61+MLPM!N61+KKD!N61+WYND!N61+KNR!N61+KSRGD!N61+SHS!N61</f>
        <v>0</v>
      </c>
      <c r="O61" s="21">
        <f>TVM!O61+KLM!O61+PTA!O61+ALP!O61+KTM!O61+IDK!O61+EKM!O61+TSR!O61+PLKD!O61+MLPM!O61+KKD!O61+WYND!O61+KNR!O61+KSRGD!O61+SHS!O61</f>
        <v>0</v>
      </c>
      <c r="P61" s="21">
        <f>TVM!P61+KLM!P61+PTA!P61+ALP!P61+KTM!P61+IDK!P61+EKM!P61+TSR!P61+PLKD!P61+MLPM!P61+KKD!P61+WYND!P61+KNR!P61+KSRGD!P61+SHS!P61</f>
        <v>0</v>
      </c>
      <c r="Q61" s="21"/>
      <c r="R61" s="21">
        <f>TVM!R61+KLM!R61+PTA!R61+ALP!R61+KTM!R61+IDK!R61+EKM!R61+TSR!R61+PLKD!R61+MLPM!R61+KKD!R61+WYND!R61+KNR!R61+KSRGD!R61+SHS!R61</f>
        <v>0</v>
      </c>
      <c r="S61" s="21"/>
      <c r="T61" s="45">
        <f>TVM!T61+KLM!T61+PTA!T61+ALP!T61+KTM!T61+IDK!T61+EKM!T61+TSR!T61+PLKD!T61+MLPM!T61+KKD!T61+WYND!T61+KNR!T61+KSRGD!T61+SHS!T61</f>
        <v>0</v>
      </c>
      <c r="U61" s="21"/>
      <c r="V61" s="21">
        <f>TVM!V61+KLM!V61+PTA!V61+ALP!V61+KTM!V61+IDK!V61+EKM!V61+TSR!V61+PLKD!V61+MLPM!V61+KKD!V61+WYND!V61+KNR!V61+KSRGD!V61+SHS!V61</f>
        <v>0</v>
      </c>
      <c r="W61" s="21"/>
      <c r="X61" s="22">
        <f t="shared" si="0"/>
        <v>0</v>
      </c>
      <c r="Y61" s="46"/>
    </row>
    <row r="62" spans="1:25" ht="204.75">
      <c r="A62" s="498"/>
      <c r="B62" s="498"/>
      <c r="C62" s="498"/>
      <c r="D62" s="43">
        <v>57</v>
      </c>
      <c r="E62" s="43" t="s">
        <v>95</v>
      </c>
      <c r="F62" s="21">
        <f>TVM!F62+KLM!F62+PTA!F62+ALP!F62+KTM!F62+IDK!F62+EKM!F62+TSR!F62+PLKD!F62+MLPM!F62+KKD!F62+WYND!F62+KNR!F62+KSRGD!F62+SHS!F62</f>
        <v>0</v>
      </c>
      <c r="G62" s="21"/>
      <c r="H62" s="21">
        <f>TVM!H62+KLM!H62+PTA!H62+ALP!H62+KTM!H62+IDK!H62+EKM!H62+TSR!H62+PLKD!H62+MLPM!H62+KKD!H62+WYND!H62+KNR!H62+KSRGD!H62+SHS!H62</f>
        <v>0</v>
      </c>
      <c r="I62" s="48">
        <f>TVM!I62+KLM!I62+PTA!I62+ALP!I62+KTM!I62+IDK!I62+EKM!I62+TSR!I62+PLKD!I62+MLPM!I62+KKD!I62+WYND!I62+KNR!I62+KSRGD!I62+SHS!I62</f>
        <v>0</v>
      </c>
      <c r="J62" s="48">
        <f>TVM!J62+KLM!J62+PTA!J62+ALP!J62+KTM!J62+IDK!J62+EKM!J62+TSR!J62+PLKD!J62+MLPM!J62+KKD!J62+WYND!J62+KNR!J62+KSRGD!J62+SHS!J62</f>
        <v>0</v>
      </c>
      <c r="K62" s="21"/>
      <c r="L62" s="21">
        <f>TVM!L62+KLM!L62+PTA!L62+ALP!L62+KTM!L62+IDK!L62+EKM!L62+TSR!L62+PLKD!L62+MLPM!L62+KKD!L62+WYND!L62+KNR!L62+KSRGD!L62+SHS!L62</f>
        <v>68.13</v>
      </c>
      <c r="M62" s="21" t="s">
        <v>472</v>
      </c>
      <c r="N62" s="21">
        <f>TVM!N62+KLM!N62+PTA!N62+ALP!N62+KTM!N62+IDK!N62+EKM!N62+TSR!N62+PLKD!N62+MLPM!N62+KKD!N62+WYND!N62+KNR!N62+KSRGD!N62+SHS!N62</f>
        <v>0</v>
      </c>
      <c r="O62" s="21">
        <f>TVM!O62+KLM!O62+PTA!O62+ALP!O62+KTM!O62+IDK!O62+EKM!O62+TSR!O62+PLKD!O62+MLPM!O62+KKD!O62+WYND!O62+KNR!O62+KSRGD!O62+SHS!O62</f>
        <v>0</v>
      </c>
      <c r="P62" s="21">
        <f>TVM!P62+KLM!P62+PTA!P62+ALP!P62+KTM!P62+IDK!P62+EKM!P62+TSR!P62+PLKD!P62+MLPM!P62+KKD!P62+WYND!P62+KNR!P62+KSRGD!P62+SHS!P62</f>
        <v>0</v>
      </c>
      <c r="Q62" s="21"/>
      <c r="R62" s="56">
        <f>TVM!R62+KLM!R62+PTA!R62+ALP!R62+KTM!R62+IDK!R62+EKM!R62+TSR!R62+PLKD!R62+MLPM!R62+KKD!R62+WYND!R62+KNR!R62+KSRGD!R62+SHS!R62</f>
        <v>10.1</v>
      </c>
      <c r="S62" s="57"/>
      <c r="T62" s="45">
        <f>TVM!T62+KLM!T62+PTA!T62+ALP!T62+KTM!T62+IDK!T62+EKM!T62+TSR!T62+PLKD!T62+MLPM!T62+KKD!T62+WYND!T62+KNR!T62+KSRGD!T62+SHS!T62</f>
        <v>0</v>
      </c>
      <c r="U62" s="21"/>
      <c r="V62" s="21">
        <f>TVM!V62+KLM!V62+PTA!V62+ALP!V62+KTM!V62+IDK!V62+EKM!V62+TSR!V62+PLKD!V62+MLPM!V62+KKD!V62+WYND!V62+KNR!V62+KSRGD!V62+SHS!V62</f>
        <v>0</v>
      </c>
      <c r="W62" s="21"/>
      <c r="X62" s="22">
        <f t="shared" si="0"/>
        <v>78.22999999999999</v>
      </c>
      <c r="Y62" s="46" t="s">
        <v>473</v>
      </c>
    </row>
    <row r="63" spans="1:25" ht="31.5">
      <c r="A63" s="498"/>
      <c r="B63" s="498"/>
      <c r="C63" s="498"/>
      <c r="D63" s="43">
        <v>58</v>
      </c>
      <c r="E63" s="43" t="s">
        <v>97</v>
      </c>
      <c r="F63" s="21">
        <f>TVM!F63+KLM!F63+PTA!F63+ALP!F63+KTM!F63+IDK!F63+EKM!F63+TSR!F63+PLKD!F63+MLPM!F63+KKD!F63+WYND!F63+KNR!F63+KSRGD!F63+SHS!F63</f>
        <v>0</v>
      </c>
      <c r="G63" s="21"/>
      <c r="H63" s="21">
        <f>TVM!H63+KLM!H63+PTA!H63+ALP!H63+KTM!H63+IDK!H63+EKM!H63+TSR!H63+PLKD!H63+MLPM!H63+KKD!H63+WYND!H63+KNR!H63+KSRGD!H63+SHS!H63</f>
        <v>0</v>
      </c>
      <c r="I63" s="21">
        <f>TVM!I63+KLM!I63+PTA!I63+ALP!I63+KTM!I63+IDK!I63+EKM!I63+TSR!I63+PLKD!I63+MLPM!I63+KKD!I63+WYND!I63+KNR!I63+KSRGD!I63+SHS!I63</f>
        <v>0</v>
      </c>
      <c r="J63" s="21">
        <f>TVM!J63+KLM!J63+PTA!J63+ALP!J63+KTM!J63+IDK!J63+EKM!J63+TSR!J63+PLKD!J63+MLPM!J63+KKD!J63+WYND!J63+KNR!J63+KSRGD!J63+SHS!J63</f>
        <v>0</v>
      </c>
      <c r="K63" s="21"/>
      <c r="L63" s="21">
        <f>TVM!L63+KLM!L63+PTA!L63+ALP!L63+KTM!L63+IDK!L63+EKM!L63+TSR!L63+PLKD!L63+MLPM!L63+KKD!L63+WYND!L63+KNR!L63+KSRGD!L63+SHS!L63</f>
        <v>0</v>
      </c>
      <c r="M63" s="21"/>
      <c r="N63" s="21">
        <f>TVM!N63+KLM!N63+PTA!N63+ALP!N63+KTM!N63+IDK!N63+EKM!N63+TSR!N63+PLKD!N63+MLPM!N63+KKD!N63+WYND!N63+KNR!N63+KSRGD!N63+SHS!N63</f>
        <v>0</v>
      </c>
      <c r="O63" s="22">
        <f>TVM!O63+KLM!O63+PTA!O63+ALP!O63+KTM!O63+IDK!O63+EKM!O63+TSR!O63+PLKD!O63+MLPM!O63+KKD!O63+WYND!O63+KNR!O63+KSRGD!O63+SHS!O63</f>
        <v>0</v>
      </c>
      <c r="P63" s="22">
        <f>TVM!P63+KLM!P63+PTA!P63+ALP!P63+KTM!P63+IDK!P63+EKM!P63+TSR!P63+PLKD!P63+MLPM!P63+KKD!P63+WYND!P63+KNR!P63+KSRGD!P63+SHS!P63</f>
        <v>0</v>
      </c>
      <c r="Q63" s="21"/>
      <c r="R63" s="21">
        <f>TVM!R63+KLM!R63+PTA!R63+ALP!R63+KTM!R63+IDK!R63+EKM!R63+TSR!R63+PLKD!R63+MLPM!R63+KKD!R63+WYND!R63+KNR!R63+KSRGD!R63+SHS!R63</f>
        <v>0</v>
      </c>
      <c r="S63" s="21"/>
      <c r="T63" s="45">
        <f>TVM!T63+KLM!T63+PTA!T63+ALP!T63+KTM!T63+IDK!T63+EKM!T63+TSR!T63+PLKD!T63+MLPM!T63+KKD!T63+WYND!T63+KNR!T63+KSRGD!T63+SHS!T63</f>
        <v>0</v>
      </c>
      <c r="U63" s="21"/>
      <c r="V63" s="21">
        <f>TVM!V63+KLM!V63+PTA!V63+ALP!V63+KTM!V63+IDK!V63+EKM!V63+TSR!V63+PLKD!V63+MLPM!V63+KKD!V63+WYND!V63+KNR!V63+KSRGD!V63+SHS!V63</f>
        <v>0</v>
      </c>
      <c r="W63" s="21"/>
      <c r="X63" s="22">
        <f t="shared" si="0"/>
        <v>0</v>
      </c>
      <c r="Y63" s="46"/>
    </row>
    <row r="64" spans="1:25" ht="15.75">
      <c r="A64" s="498"/>
      <c r="B64" s="498"/>
      <c r="C64" s="498"/>
      <c r="D64" s="43">
        <v>59</v>
      </c>
      <c r="E64" s="43" t="s">
        <v>98</v>
      </c>
      <c r="F64" s="21">
        <f>TVM!F64+KLM!F64+PTA!F64+ALP!F64+KTM!F64+IDK!F64+EKM!F64+TSR!F64+PLKD!F64+MLPM!F64+KKD!F64+WYND!F64+KNR!F64+KSRGD!F64+SHS!F64</f>
        <v>0</v>
      </c>
      <c r="G64" s="21"/>
      <c r="H64" s="21">
        <f>TVM!H64+KLM!H64+PTA!H64+ALP!H64+KTM!H64+IDK!H64+EKM!H64+TSR!H64+PLKD!H64+MLPM!H64+KKD!H64+WYND!H64+KNR!H64+KSRGD!H64+SHS!H64</f>
        <v>0</v>
      </c>
      <c r="I64" s="21">
        <f>TVM!I64+KLM!I64+PTA!I64+ALP!I64+KTM!I64+IDK!I64+EKM!I64+TSR!I64+PLKD!I64+MLPM!I64+KKD!I64+WYND!I64+KNR!I64+KSRGD!I64+SHS!I64</f>
        <v>0</v>
      </c>
      <c r="J64" s="21">
        <f>TVM!J64+KLM!J64+PTA!J64+ALP!J64+KTM!J64+IDK!J64+EKM!J64+TSR!J64+PLKD!J64+MLPM!J64+KKD!J64+WYND!J64+KNR!J64+KSRGD!J64+SHS!J64</f>
        <v>0</v>
      </c>
      <c r="K64" s="21"/>
      <c r="L64" s="21">
        <f>TVM!L64+KLM!L64+PTA!L64+ALP!L64+KTM!L64+IDK!L64+EKM!L64+TSR!L64+PLKD!L64+MLPM!L64+KKD!L64+WYND!L64+KNR!L64+KSRGD!L64+SHS!L64</f>
        <v>0</v>
      </c>
      <c r="M64" s="21"/>
      <c r="N64" s="21">
        <f>TVM!N64+KLM!N64+PTA!N64+ALP!N64+KTM!N64+IDK!N64+EKM!N64+TSR!N64+PLKD!N64+MLPM!N64+KKD!N64+WYND!N64+KNR!N64+KSRGD!N64+SHS!N64</f>
        <v>0</v>
      </c>
      <c r="O64" s="21">
        <f>TVM!O64+KLM!O64+PTA!O64+ALP!O64+KTM!O64+IDK!O64+EKM!O64+TSR!O64+PLKD!O64+MLPM!O64+KKD!O64+WYND!O64+KNR!O64+KSRGD!O64+SHS!O64</f>
        <v>0</v>
      </c>
      <c r="P64" s="21">
        <f>TVM!P64+KLM!P64+PTA!P64+ALP!P64+KTM!P64+IDK!P64+EKM!P64+TSR!P64+PLKD!P64+MLPM!P64+KKD!P64+WYND!P64+KNR!P64+KSRGD!P64+SHS!P64</f>
        <v>0</v>
      </c>
      <c r="Q64" s="21"/>
      <c r="R64" s="21">
        <f>TVM!R64+KLM!R64+PTA!R64+ALP!R64+KTM!R64+IDK!R64+EKM!R64+TSR!R64+PLKD!R64+MLPM!R64+KKD!R64+WYND!R64+KNR!R64+KSRGD!R64+SHS!R64</f>
        <v>0</v>
      </c>
      <c r="S64" s="21"/>
      <c r="T64" s="45">
        <f>TVM!T64+KLM!T64+PTA!T64+ALP!T64+KTM!T64+IDK!T64+EKM!T64+TSR!T64+PLKD!T64+MLPM!T64+KKD!T64+WYND!T64+KNR!T64+KSRGD!T64+SHS!T64</f>
        <v>0</v>
      </c>
      <c r="U64" s="21"/>
      <c r="V64" s="21">
        <f>TVM!V64+KLM!V64+PTA!V64+ALP!V64+KTM!V64+IDK!V64+EKM!V64+TSR!V64+PLKD!V64+MLPM!V64+KKD!V64+WYND!V64+KNR!V64+KSRGD!V64+SHS!V64</f>
        <v>0</v>
      </c>
      <c r="W64" s="21"/>
      <c r="X64" s="22">
        <f t="shared" si="0"/>
        <v>0</v>
      </c>
      <c r="Y64" s="46"/>
    </row>
    <row r="65" spans="1:26" ht="31.5">
      <c r="A65" s="498"/>
      <c r="B65" s="498"/>
      <c r="C65" s="498"/>
      <c r="D65" s="43">
        <v>60</v>
      </c>
      <c r="E65" s="43" t="s">
        <v>99</v>
      </c>
      <c r="F65" s="21">
        <f>TVM!F65+KLM!F65+PTA!F65+ALP!F65+KTM!F65+IDK!F65+EKM!F65+TSR!F65+PLKD!F65+MLPM!F65+KKD!F65+WYND!F65+KNR!F65+KSRGD!F65+SHS!F65</f>
        <v>0</v>
      </c>
      <c r="G65" s="21"/>
      <c r="H65" s="21">
        <f>TVM!H65+KLM!H65+PTA!H65+ALP!H65+KTM!H65+IDK!H65+EKM!H65+TSR!H65+PLKD!H65+MLPM!H65+KKD!H65+WYND!H65+KNR!H65+KSRGD!H65+SHS!H65</f>
        <v>0</v>
      </c>
      <c r="I65" s="21">
        <f>TVM!I65+KLM!I65+PTA!I65+ALP!I65+KTM!I65+IDK!I65+EKM!I65+TSR!I65+PLKD!I65+MLPM!I65+KKD!I65+WYND!I65+KNR!I65+KSRGD!I65+SHS!I65</f>
        <v>0</v>
      </c>
      <c r="J65" s="21">
        <f>TVM!J65+KLM!J65+PTA!J65+ALP!J65+KTM!J65+IDK!J65+EKM!J65+TSR!J65+PLKD!J65+MLPM!J65+KKD!J65+WYND!J65+KNR!J65+KSRGD!J65+SHS!J65</f>
        <v>0</v>
      </c>
      <c r="K65" s="21"/>
      <c r="L65" s="21">
        <f>TVM!L65+KLM!L65+PTA!L65+ALP!L65+KTM!L65+IDK!L65+EKM!L65+TSR!L65+PLKD!L65+MLPM!L65+KKD!L65+WYND!L65+KNR!L65+KSRGD!L65+SHS!L65</f>
        <v>0</v>
      </c>
      <c r="M65" s="21"/>
      <c r="N65" s="21">
        <f>TVM!N65+KLM!N65+PTA!N65+ALP!N65+KTM!N65+IDK!N65+EKM!N65+TSR!N65+PLKD!N65+MLPM!N65+KKD!N65+WYND!N65+KNR!N65+KSRGD!N65+SHS!N65</f>
        <v>0</v>
      </c>
      <c r="O65" s="21">
        <f>TVM!O65+KLM!O65+PTA!O65+ALP!O65+KTM!O65+IDK!O65+EKM!O65+TSR!O65+PLKD!O65+MLPM!O65+KKD!O65+WYND!O65+KNR!O65+KSRGD!O65+SHS!O65</f>
        <v>0</v>
      </c>
      <c r="P65" s="21">
        <f>TVM!P65+KLM!P65+PTA!P65+ALP!P65+KTM!P65+IDK!P65+EKM!P65+TSR!P65+PLKD!P65+MLPM!P65+KKD!P65+WYND!P65+KNR!P65+KSRGD!P65+SHS!P65</f>
        <v>0</v>
      </c>
      <c r="Q65" s="21"/>
      <c r="R65" s="21">
        <f>TVM!R65+KLM!R65+PTA!R65+ALP!R65+KTM!R65+IDK!R65+EKM!R65+TSR!R65+PLKD!R65+MLPM!R65+KKD!R65+WYND!R65+KNR!R65+KSRGD!R65+SHS!R65</f>
        <v>0</v>
      </c>
      <c r="S65" s="21"/>
      <c r="T65" s="45">
        <f>TVM!T65+KLM!T65+PTA!T65+ALP!T65+KTM!T65+IDK!T65+EKM!T65+TSR!T65+PLKD!T65+MLPM!T65+KKD!T65+WYND!T65+KNR!T65+KSRGD!T65+SHS!T65</f>
        <v>0</v>
      </c>
      <c r="U65" s="21"/>
      <c r="V65" s="21">
        <f>TVM!V65+KLM!V65+PTA!V65+ALP!V65+KTM!V65+IDK!V65+EKM!V65+TSR!V65+PLKD!V65+MLPM!V65+KKD!V65+WYND!V65+KNR!V65+KSRGD!V65+SHS!V65</f>
        <v>0</v>
      </c>
      <c r="W65" s="21"/>
      <c r="X65" s="22">
        <f t="shared" si="0"/>
        <v>0</v>
      </c>
      <c r="Y65" s="46"/>
    </row>
    <row r="66" spans="1:26" ht="47.25">
      <c r="A66" s="498"/>
      <c r="B66" s="496"/>
      <c r="C66" s="496"/>
      <c r="D66" s="43">
        <v>61</v>
      </c>
      <c r="E66" s="43" t="s">
        <v>44</v>
      </c>
      <c r="F66" s="21">
        <f>TVM!F66+KLM!F66+PTA!F66+ALP!F66+KTM!F66+IDK!F66+EKM!F66+TSR!F66+PLKD!F66+MLPM!F66+KKD!F66+WYND!F66+KNR!F66+KSRGD!F66+SHS!F66</f>
        <v>0</v>
      </c>
      <c r="G66" s="21"/>
      <c r="H66" s="21">
        <f>TVM!H66+KLM!H66+PTA!H66+ALP!H66+KTM!H66+IDK!H66+EKM!H66+TSR!H66+PLKD!H66+MLPM!H66+KKD!H66+WYND!H66+KNR!H66+KSRGD!H66+SHS!H66</f>
        <v>0</v>
      </c>
      <c r="I66" s="21">
        <f>TVM!I66+KLM!I66+PTA!I66+ALP!I66+KTM!I66+IDK!I66+EKM!I66+TSR!I66+PLKD!I66+MLPM!I66+KKD!I66+WYND!I66+KNR!I66+KSRGD!I66+SHS!I66</f>
        <v>0</v>
      </c>
      <c r="J66" s="21">
        <f>TVM!J66+KLM!J66+PTA!J66+ALP!J66+KTM!J66+IDK!J66+EKM!J66+TSR!J66+PLKD!J66+MLPM!J66+KKD!J66+WYND!J66+KNR!J66+KSRGD!J66+SHS!J66</f>
        <v>0</v>
      </c>
      <c r="K66" s="21"/>
      <c r="L66" s="21">
        <f>TVM!L66+KLM!L66+PTA!L66+ALP!L66+KTM!L66+IDK!L66+EKM!L66+TSR!L66+PLKD!L66+MLPM!L66+KKD!L66+WYND!L66+KNR!L66+KSRGD!L66+SHS!L66</f>
        <v>0</v>
      </c>
      <c r="M66" s="21"/>
      <c r="N66" s="21">
        <f>TVM!N66+KLM!N66+PTA!N66+ALP!N66+KTM!N66+IDK!N66+EKM!N66+TSR!N66+PLKD!N66+MLPM!N66+KKD!N66+WYND!N66+KNR!N66+KSRGD!N66+SHS!N66</f>
        <v>0</v>
      </c>
      <c r="O66" s="21">
        <f>TVM!O66+KLM!O66+PTA!O66+ALP!O66+KTM!O66+IDK!O66+EKM!O66+TSR!O66+PLKD!O66+MLPM!O66+KKD!O66+WYND!O66+KNR!O66+KSRGD!O66+SHS!O66</f>
        <v>0</v>
      </c>
      <c r="P66" s="21">
        <f>TVM!P66+KLM!P66+PTA!P66+ALP!P66+KTM!P66+IDK!P66+EKM!P66+TSR!P66+PLKD!P66+MLPM!P66+KKD!P66+WYND!P66+KNR!P66+KSRGD!P66+SHS!P66</f>
        <v>0</v>
      </c>
      <c r="Q66" s="21"/>
      <c r="R66" s="21">
        <f>TVM!R66+KLM!R66+PTA!R66+ALP!R66+KTM!R66+IDK!R66+EKM!R66+TSR!R66+PLKD!R66+MLPM!R66+KKD!R66+WYND!R66+KNR!R66+KSRGD!R66+SHS!R66</f>
        <v>0</v>
      </c>
      <c r="S66" s="21"/>
      <c r="T66" s="45">
        <f>TVM!T66+KLM!T66+PTA!T66+ALP!T66+KTM!T66+IDK!T66+EKM!T66+TSR!T66+PLKD!T66+MLPM!T66+KKD!T66+WYND!T66+KNR!T66+KSRGD!T66+SHS!T66</f>
        <v>0</v>
      </c>
      <c r="U66" s="21"/>
      <c r="V66" s="21">
        <f>TVM!V66+KLM!V66+PTA!V66+ALP!V66+KTM!V66+IDK!V66+EKM!V66+TSR!V66+PLKD!V66+MLPM!V66+KKD!V66+WYND!V66+KNR!V66+KSRGD!V66+SHS!V66</f>
        <v>0</v>
      </c>
      <c r="W66" s="21"/>
      <c r="X66" s="22">
        <f t="shared" si="0"/>
        <v>0</v>
      </c>
      <c r="Y66" s="46"/>
    </row>
    <row r="67" spans="1:26" ht="236.25">
      <c r="A67" s="498"/>
      <c r="B67" s="43" t="s">
        <v>100</v>
      </c>
      <c r="C67" s="43" t="s">
        <v>101</v>
      </c>
      <c r="D67" s="43">
        <v>62</v>
      </c>
      <c r="E67" s="43" t="s">
        <v>102</v>
      </c>
      <c r="F67" s="21">
        <f>TVM!F67+KLM!F67+PTA!F67+ALP!F67+KTM!F67+IDK!F67+EKM!F67+TSR!F67+PLKD!F67+MLPM!F67+KKD!F67+WYND!F67+KNR!F67+KSRGD!F67+SHS!F67</f>
        <v>0</v>
      </c>
      <c r="G67" s="21"/>
      <c r="H67" s="21">
        <f>TVM!H67+KLM!H67+PTA!H67+ALP!H67+KTM!H67+IDK!H67+EKM!H67+TSR!H67+PLKD!H67+MLPM!H67+KKD!H67+WYND!H67+KNR!H67+KSRGD!H67+SHS!H67</f>
        <v>0</v>
      </c>
      <c r="I67" s="21">
        <f>TVM!I67+KLM!I67+PTA!I67+ALP!I67+KTM!I67+IDK!I67+EKM!I67+TSR!I67+PLKD!I67+MLPM!I67+KKD!I67+WYND!I67+KNR!I67+KSRGD!I67+SHS!I67</f>
        <v>0</v>
      </c>
      <c r="J67" s="21">
        <f>TVM!J67+KLM!J67+PTA!J67+ALP!J67+KTM!J67+IDK!J67+EKM!J67+TSR!J67+PLKD!J67+MLPM!J67+KKD!J67+WYND!J67+KNR!J67+KSRGD!J67+SHS!J67</f>
        <v>0</v>
      </c>
      <c r="K67" s="21"/>
      <c r="L67" s="21">
        <f>TVM!L67+KLM!L67+PTA!L67+ALP!L67+KTM!L67+IDK!L67+EKM!L67+TSR!L67+PLKD!L67+MLPM!L67+KKD!L67+WYND!L67+KNR!L67+KSRGD!L67+SHS!L67</f>
        <v>0</v>
      </c>
      <c r="M67" s="21"/>
      <c r="N67" s="21">
        <f>TVM!N67+KLM!N67+PTA!N67+ALP!N67+KTM!N67+IDK!N67+EKM!N67+TSR!N67+PLKD!N67+MLPM!N67+KKD!N67+WYND!N67+KNR!N67+KSRGD!N67+SHS!N67</f>
        <v>0</v>
      </c>
      <c r="O67" s="21">
        <f>TVM!O67+KLM!O67+PTA!O67+ALP!O67+KTM!O67+IDK!O67+EKM!O67+TSR!O67+PLKD!O67+MLPM!O67+KKD!O67+WYND!O67+KNR!O67+KSRGD!O67+SHS!O67</f>
        <v>0</v>
      </c>
      <c r="P67" s="21">
        <f>TVM!P67+KLM!P67+PTA!P67+ALP!P67+KTM!P67+IDK!P67+EKM!P67+TSR!P67+PLKD!P67+MLPM!P67+KKD!P67+WYND!P67+KNR!P67+KSRGD!P67+SHS!P67</f>
        <v>0</v>
      </c>
      <c r="Q67" s="21"/>
      <c r="R67" s="22">
        <f>TVM!R67+KLM!R67+PTA!R67+ALP!R67+KTM!R67+IDK!R67+EKM!R67+TSR!R67+PLKD!R67+MLPM!R67+KKD!R67+WYND!R67+KNR!R67+KSRGD!R67+SHS!R67</f>
        <v>20</v>
      </c>
      <c r="S67" s="21"/>
      <c r="T67" s="45">
        <f>TVM!T67+KLM!T67+PTA!T67+ALP!T67+KTM!T67+IDK!T67+EKM!T67+TSR!T67+PLKD!T67+MLPM!T67+KKD!T67+WYND!T67+KNR!T67+KSRGD!T67+SHS!T67</f>
        <v>0</v>
      </c>
      <c r="U67" s="21"/>
      <c r="V67" s="48">
        <f>TVM!V67+KLM!V67+PTA!V67+ALP!V67+KTM!V67+IDK!V67+EKM!V67+TSR!V67+PLKD!V67+MLPM!V67+KKD!V67+WYND!V67+KNR!V67+KSRGD!V67+SHS!V67</f>
        <v>1</v>
      </c>
      <c r="W67" s="21"/>
      <c r="X67" s="22">
        <f t="shared" si="0"/>
        <v>21</v>
      </c>
      <c r="Y67" s="61"/>
    </row>
    <row r="68" spans="1:26" ht="27" customHeight="1">
      <c r="A68" s="496"/>
      <c r="B68" s="500" t="s">
        <v>103</v>
      </c>
      <c r="C68" s="489"/>
      <c r="D68" s="490"/>
      <c r="E68" s="59"/>
      <c r="F68" s="60">
        <f t="shared" ref="F68:X68" si="1">SUM(F6:F67)</f>
        <v>779.97775000000001</v>
      </c>
      <c r="G68" s="60">
        <f t="shared" si="1"/>
        <v>0</v>
      </c>
      <c r="H68" s="60">
        <f t="shared" si="1"/>
        <v>120</v>
      </c>
      <c r="I68" s="60">
        <f t="shared" si="1"/>
        <v>0</v>
      </c>
      <c r="J68" s="60">
        <f t="shared" si="1"/>
        <v>120</v>
      </c>
      <c r="K68" s="60">
        <f t="shared" si="1"/>
        <v>0</v>
      </c>
      <c r="L68" s="60">
        <f t="shared" si="1"/>
        <v>3412.5806171999998</v>
      </c>
      <c r="M68" s="60">
        <f t="shared" si="1"/>
        <v>0</v>
      </c>
      <c r="N68" s="60">
        <f t="shared" si="1"/>
        <v>0</v>
      </c>
      <c r="O68" s="60">
        <f t="shared" si="1"/>
        <v>2516.290544</v>
      </c>
      <c r="P68" s="60">
        <f t="shared" si="1"/>
        <v>2516.290544</v>
      </c>
      <c r="Q68" s="60">
        <f t="shared" si="1"/>
        <v>0</v>
      </c>
      <c r="R68" s="60">
        <f t="shared" si="1"/>
        <v>1055.4210999999998</v>
      </c>
      <c r="S68" s="60">
        <f t="shared" si="1"/>
        <v>0</v>
      </c>
      <c r="T68" s="60">
        <f t="shared" si="1"/>
        <v>5463.2004300000008</v>
      </c>
      <c r="U68" s="60">
        <f t="shared" si="1"/>
        <v>0</v>
      </c>
      <c r="V68" s="60">
        <f t="shared" si="1"/>
        <v>43.42</v>
      </c>
      <c r="W68" s="60">
        <f t="shared" si="1"/>
        <v>0</v>
      </c>
      <c r="X68" s="60">
        <f t="shared" si="1"/>
        <v>13390.890441199996</v>
      </c>
      <c r="Y68" s="61"/>
    </row>
    <row r="69" spans="1:26" ht="81.75" customHeight="1">
      <c r="A69" s="499" t="s">
        <v>104</v>
      </c>
      <c r="B69" s="43" t="s">
        <v>105</v>
      </c>
      <c r="C69" s="43" t="s">
        <v>106</v>
      </c>
      <c r="D69" s="43">
        <v>63</v>
      </c>
      <c r="E69" s="43" t="s">
        <v>107</v>
      </c>
      <c r="F69" s="21">
        <f>TVM!F69+KLM!F69+PTA!F69+ALP!F69+KTM!F69+IDK!F69+EKM!F69+TSR!F69+PLKD!F69+MLPM!F69+KKD!F69+WYND!F69+KNR!F69+KSRGD!F69+SHS!F69</f>
        <v>0</v>
      </c>
      <c r="G69" s="21"/>
      <c r="H69" s="21">
        <f>TVM!H69+KLM!H69+PTA!H69+ALP!H69+KTM!H69+IDK!H69+EKM!H69+TSR!H69+PLKD!H69+MLPM!H69+KKD!H69+WYND!H69+KNR!H69+KSRGD!H69+SHS!H69</f>
        <v>0</v>
      </c>
      <c r="I69" s="21">
        <f>TVM!I69+KLM!I69+PTA!I69+ALP!I69+KTM!I69+IDK!I69+EKM!I69+TSR!I69+PLKD!I69+MLPM!I69+KKD!I69+WYND!I69+KNR!I69+KSRGD!I69+SHS!I69</f>
        <v>0</v>
      </c>
      <c r="J69" s="21">
        <f>TVM!J69+KLM!J69+PTA!J69+ALP!J69+KTM!J69+IDK!J69+EKM!J69+TSR!J69+PLKD!J69+MLPM!J69+KKD!J69+WYND!J69+KNR!J69+KSRGD!J69+SHS!J69</f>
        <v>0</v>
      </c>
      <c r="K69" s="21"/>
      <c r="L69" s="21">
        <f>TVM!L69+KLM!L69+PTA!L69+ALP!L69+KTM!L69+IDK!L69+EKM!L69+TSR!L69+PLKD!L69+MLPM!L69+KKD!L69+WYND!L69+KNR!L69+KSRGD!L69+SHS!L69</f>
        <v>0</v>
      </c>
      <c r="M69" s="21"/>
      <c r="N69" s="21">
        <f>TVM!N69+KLM!N69+PTA!N69+ALP!N69+KTM!N69+IDK!N69+EKM!N69+TSR!N69+PLKD!N69+MLPM!N69+KKD!N69+WYND!N69+KNR!N69+KSRGD!N69+SHS!N69</f>
        <v>0</v>
      </c>
      <c r="O69" s="21">
        <f>TVM!O69+KLM!O69+PTA!O69+ALP!O69+KTM!O69+IDK!O69+EKM!O69+TSR!O69+PLKD!O69+MLPM!O69+KKD!O69+WYND!O69+KNR!O69+KSRGD!O69+SHS!O69</f>
        <v>0</v>
      </c>
      <c r="P69" s="21">
        <f>TVM!P69+KLM!P69+PTA!P69+ALP!P69+KTM!P69+IDK!P69+EKM!P69+TSR!P69+PLKD!P69+MLPM!P69+KKD!P69+WYND!P69+KNR!P69+KSRGD!P69+SHS!P69</f>
        <v>0</v>
      </c>
      <c r="Q69" s="21"/>
      <c r="R69" s="48">
        <f>TVM!R69+KLM!R69+PTA!R69+ALP!R69+KTM!R69+IDK!R69+EKM!R69+TSR!R69+PLKD!R69+MLPM!R69+KKD!R69+WYND!R69+KNR!R69+KSRGD!R69+SHS!R69</f>
        <v>0</v>
      </c>
      <c r="S69" s="21"/>
      <c r="T69" s="22">
        <f>TVM!T69+KLM!T69+PTA!T69+ALP!T69+KTM!T69+IDK!T69+EKM!T69+TSR!T69+PLKD!T69+MLPM!T69+KKD!T69+WYND!T69+KNR!T69+KSRGD!T69+SHS!T69</f>
        <v>0</v>
      </c>
      <c r="U69" s="21"/>
      <c r="V69" s="48">
        <f>TVM!V69+KLM!V69+PTA!V69+ALP!V69+KTM!V69+IDK!V69+EKM!V69+TSR!V69+PLKD!V69+MLPM!V69+KKD!V69+WYND!V69+KNR!V69+KSRGD!V69+SHS!V69</f>
        <v>18</v>
      </c>
      <c r="W69" s="46"/>
      <c r="X69" s="22">
        <f t="shared" ref="X69:X92" si="2">F69+J69+L69+P69+R69+T69+V69</f>
        <v>18</v>
      </c>
      <c r="Y69" s="46" t="s">
        <v>474</v>
      </c>
    </row>
    <row r="70" spans="1:26" ht="101.25" customHeight="1">
      <c r="A70" s="498"/>
      <c r="B70" s="497" t="s">
        <v>108</v>
      </c>
      <c r="C70" s="497" t="s">
        <v>109</v>
      </c>
      <c r="D70" s="43">
        <v>64</v>
      </c>
      <c r="E70" s="43" t="s">
        <v>110</v>
      </c>
      <c r="F70" s="21">
        <f>TVM!F70+KLM!F70+PTA!F70+ALP!F70+KTM!F70+IDK!F70+EKM!F70+TSR!F70+PLKD!F70+MLPM!F70+KKD!F70+WYND!F70+KNR!F70+KSRGD!F70+SHS!F70</f>
        <v>0</v>
      </c>
      <c r="G70" s="21"/>
      <c r="H70" s="21">
        <f>TVM!H70+KLM!H70+PTA!H70+ALP!H70+KTM!H70+IDK!H70+EKM!H70+TSR!H70+PLKD!H70+MLPM!H70+KKD!H70+WYND!H70+KNR!H70+KSRGD!H70+SHS!H70</f>
        <v>0</v>
      </c>
      <c r="I70" s="48">
        <f>TVM!I70+KLM!I70+PTA!I70+ALP!I70+KTM!I70+IDK!I70+EKM!I70+TSR!I70+PLKD!I70+MLPM!I70+KKD!I70+WYND!I70+KNR!I70+KSRGD!I70+SHS!I70</f>
        <v>0</v>
      </c>
      <c r="J70" s="48">
        <f>TVM!J70+KLM!J70+PTA!J70+ALP!J70+KTM!J70+IDK!J70+EKM!J70+TSR!J70+PLKD!J70+MLPM!J70+KKD!J70+WYND!J70+KNR!J70+KSRGD!J70+SHS!J70</f>
        <v>0</v>
      </c>
      <c r="K70" s="21"/>
      <c r="L70" s="22">
        <f>TVM!L70+KLM!L70+PTA!L70+ALP!L70+KTM!L70+IDK!L70+EKM!L70+TSR!L70+PLKD!L70+MLPM!L70+KKD!L70+WYND!L70+KNR!L70+KSRGD!L70+SHS!L70</f>
        <v>0</v>
      </c>
      <c r="M70" s="47" t="s">
        <v>475</v>
      </c>
      <c r="N70" s="21">
        <f>TVM!N70+KLM!N70+PTA!N70+ALP!N70+KTM!N70+IDK!N70+EKM!N70+TSR!N70+PLKD!N70+MLPM!N70+KKD!N70+WYND!N70+KNR!N70+KSRGD!N70+SHS!N70</f>
        <v>0</v>
      </c>
      <c r="O70" s="22">
        <f>TVM!O70+KLM!O70+PTA!O70+ALP!O70+KTM!O70+IDK!O70+EKM!O70+TSR!O70+PLKD!O70+MLPM!O70+KKD!O70+WYND!O70+KNR!O70+KSRGD!O70+SHS!O70</f>
        <v>22.759999999999998</v>
      </c>
      <c r="P70" s="22">
        <f>TVM!P70+KLM!P70+PTA!P70+ALP!P70+KTM!P70+IDK!P70+EKM!P70+TSR!P70+PLKD!P70+MLPM!P70+KKD!P70+WYND!P70+KNR!P70+KSRGD!P70+SHS!P70</f>
        <v>22.759999999999998</v>
      </c>
      <c r="Q70" s="46" t="s">
        <v>476</v>
      </c>
      <c r="R70" s="21">
        <f>TVM!R70+KLM!R70+PTA!R70+ALP!R70+KTM!R70+IDK!R70+EKM!R70+TSR!R70+PLKD!R70+MLPM!R70+KKD!R70+WYND!R70+KNR!R70+KSRGD!R70+SHS!R70</f>
        <v>0</v>
      </c>
      <c r="S70" s="21"/>
      <c r="T70" s="22">
        <f>TVM!T70+KLM!T70+PTA!T70+ALP!T70+KTM!T70+IDK!T70+EKM!T70+TSR!T70+PLKD!T70+MLPM!T70+KKD!T70+WYND!T70+KNR!T70+KSRGD!T70+SHS!T70</f>
        <v>16.75</v>
      </c>
      <c r="U70" s="46" t="s">
        <v>561</v>
      </c>
      <c r="V70" s="48">
        <f>TVM!V70+KLM!V70+PTA!V70+ALP!V70+KTM!V70+IDK!V70+EKM!V70+TSR!V70+PLKD!V70+MLPM!V70+KKD!V70+WYND!V70+KNR!V70+KSRGD!V70+SHS!V70</f>
        <v>3.9499999999999997</v>
      </c>
      <c r="W70" s="23" t="s">
        <v>562</v>
      </c>
      <c r="X70" s="22">
        <f t="shared" si="2"/>
        <v>43.46</v>
      </c>
      <c r="Y70" s="61"/>
    </row>
    <row r="71" spans="1:26" ht="43.5" customHeight="1">
      <c r="A71" s="498"/>
      <c r="B71" s="498"/>
      <c r="C71" s="498"/>
      <c r="D71" s="43">
        <v>65</v>
      </c>
      <c r="E71" s="43" t="s">
        <v>111</v>
      </c>
      <c r="F71" s="21">
        <f>TVM!F71+KLM!F71+PTA!F71+ALP!F71+KTM!F71+IDK!F71+EKM!F71+TSR!F71+PLKD!F71+MLPM!F71+KKD!F71+WYND!F71+KNR!F71+KSRGD!F71+SHS!F71</f>
        <v>0</v>
      </c>
      <c r="G71" s="21"/>
      <c r="H71" s="21">
        <f>TVM!H71+KLM!H71+PTA!H71+ALP!H71+KTM!H71+IDK!H71+EKM!H71+TSR!H71+PLKD!H71+MLPM!H71+KKD!H71+WYND!H71+KNR!H71+KSRGD!H71+SHS!H71</f>
        <v>0</v>
      </c>
      <c r="I71" s="21">
        <f>TVM!I71+KLM!I71+PTA!I71+ALP!I71+KTM!I71+IDK!I71+EKM!I71+TSR!I71+PLKD!I71+MLPM!I71+KKD!I71+WYND!I71+KNR!I71+KSRGD!I71+SHS!I71</f>
        <v>0</v>
      </c>
      <c r="J71" s="21">
        <f>TVM!J71+KLM!J71+PTA!J71+ALP!J71+KTM!J71+IDK!J71+EKM!J71+TSR!J71+PLKD!J71+MLPM!J71+KKD!J71+WYND!J71+KNR!J71+KSRGD!J71+SHS!J71</f>
        <v>0</v>
      </c>
      <c r="K71" s="21"/>
      <c r="L71" s="21">
        <f>TVM!L71+KLM!L71+PTA!L71+ALP!L71+KTM!L71+IDK!L71+EKM!L71+TSR!L71+PLKD!L71+MLPM!L71+KKD!L71+WYND!L71+KNR!L71+KSRGD!L71+SHS!L71</f>
        <v>0</v>
      </c>
      <c r="M71" s="21"/>
      <c r="N71" s="21">
        <f>TVM!N71+KLM!N71+PTA!N71+ALP!N71+KTM!N71+IDK!N71+EKM!N71+TSR!N71+PLKD!N71+MLPM!N71+KKD!N71+WYND!N71+KNR!N71+KSRGD!N71+SHS!N71</f>
        <v>0</v>
      </c>
      <c r="O71" s="21">
        <f>TVM!O71+KLM!O71+PTA!O71+ALP!O71+KTM!O71+IDK!O71+EKM!O71+TSR!O71+PLKD!O71+MLPM!O71+KKD!O71+WYND!O71+KNR!O71+KSRGD!O71+SHS!O71</f>
        <v>0</v>
      </c>
      <c r="P71" s="21">
        <f>TVM!P71+KLM!P71+PTA!P71+ALP!P71+KTM!P71+IDK!P71+EKM!P71+TSR!P71+PLKD!P71+MLPM!P71+KKD!P71+WYND!P71+KNR!P71+KSRGD!P71+SHS!P71</f>
        <v>0</v>
      </c>
      <c r="Q71" s="21"/>
      <c r="R71" s="21">
        <f>TVM!R71+KLM!R71+PTA!R71+ALP!R71+KTM!R71+IDK!R71+EKM!R71+TSR!R71+PLKD!R71+MLPM!R71+KKD!R71+WYND!R71+KNR!R71+KSRGD!R71+SHS!R71</f>
        <v>0</v>
      </c>
      <c r="S71" s="21"/>
      <c r="T71" s="48">
        <f>TVM!T71+KLM!T71+PTA!T71+ALP!T71+KTM!T71+IDK!T71+EKM!T71+TSR!T71+PLKD!T71+MLPM!T71+KKD!T71+WYND!T71+KNR!T71+KSRGD!T71+SHS!T71</f>
        <v>3.75</v>
      </c>
      <c r="U71" s="46" t="s">
        <v>477</v>
      </c>
      <c r="V71" s="48">
        <f>TVM!V71+KLM!V71+PTA!V71+ALP!V71+KTM!V71+IDK!V71+EKM!V71+TSR!V71+PLKD!V71+MLPM!V71+KKD!V71+WYND!V71+KNR!V71+KSRGD!V71+SHS!V71</f>
        <v>0</v>
      </c>
      <c r="W71" s="21"/>
      <c r="X71" s="22">
        <f t="shared" si="2"/>
        <v>3.75</v>
      </c>
      <c r="Y71" s="61"/>
    </row>
    <row r="72" spans="1:26" ht="108.75" customHeight="1">
      <c r="A72" s="498"/>
      <c r="B72" s="498"/>
      <c r="C72" s="498"/>
      <c r="D72" s="43">
        <v>66</v>
      </c>
      <c r="E72" s="43" t="s">
        <v>112</v>
      </c>
      <c r="F72" s="21">
        <f>TVM!F72+KLM!F72+PTA!F72+ALP!F72+KTM!F72+IDK!F72+EKM!F72+TSR!F72+PLKD!F72+MLPM!F72+KKD!F72+WYND!F72+KNR!F72+KSRGD!F72+SHS!F72</f>
        <v>0</v>
      </c>
      <c r="G72" s="21"/>
      <c r="H72" s="21">
        <f>TVM!H72+KLM!H72+PTA!H72+ALP!H72+KTM!H72+IDK!H72+EKM!H72+TSR!H72+PLKD!H72+MLPM!H72+KKD!H72+WYND!H72+KNR!H72+KSRGD!H72+SHS!H72</f>
        <v>0</v>
      </c>
      <c r="I72" s="21">
        <f>TVM!I72+KLM!I72+PTA!I72+ALP!I72+KTM!I72+IDK!I72+EKM!I72+TSR!I72+PLKD!I72+MLPM!I72+KKD!I72+WYND!I72+KNR!I72+KSRGD!I72+SHS!I72</f>
        <v>0</v>
      </c>
      <c r="J72" s="21">
        <f>TVM!J72+KLM!J72+PTA!J72+ALP!J72+KTM!J72+IDK!J72+EKM!J72+TSR!J72+PLKD!J72+MLPM!J72+KKD!J72+WYND!J72+KNR!J72+KSRGD!J72+SHS!J72</f>
        <v>0</v>
      </c>
      <c r="K72" s="21"/>
      <c r="L72" s="21">
        <f>TVM!L72+KLM!L72+PTA!L72+ALP!L72+KTM!L72+IDK!L72+EKM!L72+TSR!L72+PLKD!L72+MLPM!L72+KKD!L72+WYND!L72+KNR!L72+KSRGD!L72+SHS!L72</f>
        <v>0</v>
      </c>
      <c r="M72" s="21"/>
      <c r="N72" s="21">
        <f>TVM!N72+KLM!N72+PTA!N72+ALP!N72+KTM!N72+IDK!N72+EKM!N72+TSR!N72+PLKD!N72+MLPM!N72+KKD!N72+WYND!N72+KNR!N72+KSRGD!N72+SHS!N72</f>
        <v>0</v>
      </c>
      <c r="O72" s="22">
        <f>TVM!O72+KLM!O72+PTA!O72+ALP!O72+KTM!O72+IDK!O72+EKM!O72+TSR!O72+PLKD!O72+MLPM!O72+KKD!O72+WYND!O72+KNR!O72+KSRGD!O72+SHS!O72</f>
        <v>8.5</v>
      </c>
      <c r="P72" s="22">
        <f>TVM!P72+KLM!P72+PTA!P72+ALP!P72+KTM!P72+IDK!P72+EKM!P72+TSR!P72+PLKD!P72+MLPM!P72+KKD!P72+WYND!P72+KNR!P72+KSRGD!P72+SHS!P72</f>
        <v>8.5</v>
      </c>
      <c r="Q72" s="46" t="s">
        <v>478</v>
      </c>
      <c r="R72" s="21">
        <f>TVM!R72+KLM!R72+PTA!R72+ALP!R72+KTM!R72+IDK!R72+EKM!R72+TSR!R72+PLKD!R72+MLPM!R72+KKD!R72+WYND!R72+KNR!R72+KSRGD!R72+SHS!R72</f>
        <v>0</v>
      </c>
      <c r="S72" s="21"/>
      <c r="T72" s="48">
        <f>TVM!T72+KLM!T72+PTA!T72+ALP!T72+KTM!T72+IDK!T72+EKM!T72+TSR!T72+PLKD!T72+MLPM!T72+KKD!T72+WYND!T72+KNR!T72+KSRGD!T72+SHS!T72</f>
        <v>1.76</v>
      </c>
      <c r="U72" s="46" t="s">
        <v>479</v>
      </c>
      <c r="V72" s="21">
        <f>TVM!V72+KLM!V72+PTA!V72+ALP!V72+KTM!V72+IDK!V72+EKM!V72+TSR!V72+PLKD!V72+MLPM!V72+KKD!V72+WYND!V72+KNR!V72+KSRGD!V72+SHS!V72</f>
        <v>0</v>
      </c>
      <c r="W72" s="21"/>
      <c r="X72" s="22">
        <f t="shared" si="2"/>
        <v>10.26</v>
      </c>
      <c r="Y72" s="61"/>
    </row>
    <row r="73" spans="1:26" ht="96" customHeight="1">
      <c r="A73" s="498"/>
      <c r="B73" s="498"/>
      <c r="C73" s="498"/>
      <c r="D73" s="43">
        <v>67</v>
      </c>
      <c r="E73" s="43" t="s">
        <v>113</v>
      </c>
      <c r="F73" s="21">
        <f>TVM!F73+KLM!F73+PTA!F73+ALP!F73+KTM!F73+IDK!F73+EKM!F73+TSR!F73+PLKD!F73+MLPM!F73+KKD!F73+WYND!F73+KNR!F73+KSRGD!F73+SHS!F73</f>
        <v>0</v>
      </c>
      <c r="G73" s="21"/>
      <c r="H73" s="21">
        <f>TVM!H73+KLM!H73+PTA!H73+ALP!H73+KTM!H73+IDK!H73+EKM!H73+TSR!H73+PLKD!H73+MLPM!H73+KKD!H73+WYND!H73+KNR!H73+KSRGD!H73+SHS!H73</f>
        <v>0</v>
      </c>
      <c r="I73" s="21">
        <f>TVM!I73+KLM!I73+PTA!I73+ALP!I73+KTM!I73+IDK!I73+EKM!I73+TSR!I73+PLKD!I73+MLPM!I73+KKD!I73+WYND!I73+KNR!I73+KSRGD!I73+SHS!I73</f>
        <v>0</v>
      </c>
      <c r="J73" s="21">
        <f>TVM!J73+KLM!J73+PTA!J73+ALP!J73+KTM!J73+IDK!J73+EKM!J73+TSR!J73+PLKD!J73+MLPM!J73+KKD!J73+WYND!J73+KNR!J73+KSRGD!J73+SHS!J73</f>
        <v>0</v>
      </c>
      <c r="K73" s="21"/>
      <c r="L73" s="21">
        <f>TVM!L73+KLM!L73+PTA!L73+ALP!L73+KTM!L73+IDK!L73+EKM!L73+TSR!L73+PLKD!L73+MLPM!L73+KKD!L73+WYND!L73+KNR!L73+KSRGD!L73+SHS!L73</f>
        <v>0</v>
      </c>
      <c r="M73" s="21"/>
      <c r="N73" s="21">
        <f>TVM!N73+KLM!N73+PTA!N73+ALP!N73+KTM!N73+IDK!N73+EKM!N73+TSR!N73+PLKD!N73+MLPM!N73+KKD!N73+WYND!N73+KNR!N73+KSRGD!N73+SHS!N73</f>
        <v>0</v>
      </c>
      <c r="O73" s="22">
        <f>TVM!O73+KLM!O73+PTA!O73+ALP!O73+KTM!O73+IDK!O73+EKM!O73+TSR!O73+PLKD!O73+MLPM!O73+KKD!O73+WYND!O73+KNR!O73+KSRGD!O73+SHS!O73</f>
        <v>105.32</v>
      </c>
      <c r="P73" s="22">
        <f>TVM!P73+KLM!P73+PTA!P73+ALP!P73+KTM!P73+IDK!P73+EKM!P73+TSR!P73+PLKD!P73+MLPM!P73+KKD!P73+WYND!P73+KNR!P73+KSRGD!P73+SHS!P73</f>
        <v>105.32</v>
      </c>
      <c r="Q73" s="23" t="s">
        <v>480</v>
      </c>
      <c r="R73" s="21">
        <f>TVM!R73+KLM!R73+PTA!R73+ALP!R73+KTM!R73+IDK!R73+EKM!R73+TSR!R73+PLKD!R73+MLPM!R73+KKD!R73+WYND!R73+KNR!R73+KSRGD!R73+SHS!R73</f>
        <v>12</v>
      </c>
      <c r="S73" s="62" t="s">
        <v>481</v>
      </c>
      <c r="T73" s="48">
        <f>TVM!T73+KLM!T73+PTA!T73+ALP!T73+KTM!T73+IDK!T73+EKM!T73+TSR!T73+PLKD!T73+MLPM!T73+KKD!T73+WYND!T73+KNR!T73+KSRGD!T73+SHS!T73</f>
        <v>519.30000000000007</v>
      </c>
      <c r="U73" s="63" t="s">
        <v>482</v>
      </c>
      <c r="V73" s="48">
        <f>TVM!V73+KLM!V73+PTA!V73+ALP!V73+KTM!V73+IDK!V73+EKM!V73+TSR!V73+PLKD!V73+MLPM!V73+KKD!V73+WYND!V73+KNR!V73+KSRGD!V73+SHS!V73</f>
        <v>22</v>
      </c>
      <c r="W73" s="47" t="s">
        <v>483</v>
      </c>
      <c r="X73" s="22">
        <f t="shared" si="2"/>
        <v>658.62000000000012</v>
      </c>
      <c r="Y73" s="61" t="s">
        <v>1079</v>
      </c>
    </row>
    <row r="74" spans="1:26" ht="157.5">
      <c r="A74" s="498"/>
      <c r="B74" s="496"/>
      <c r="C74" s="496"/>
      <c r="D74" s="43">
        <v>68</v>
      </c>
      <c r="E74" s="43" t="s">
        <v>114</v>
      </c>
      <c r="F74" s="48">
        <f>TVM!F74+KLM!F74+PTA!F74+ALP!F74+KTM!F74+IDK!F74+EKM!F74+TSR!F74+PLKD!F74+MLPM!F74+KKD!F74+WYND!F74+KNR!F74+KSRGD!F74+SHS!F74</f>
        <v>0</v>
      </c>
      <c r="G74" s="21"/>
      <c r="H74" s="21">
        <f>TVM!H74+KLM!H74+PTA!H74+ALP!H74+KTM!H74+IDK!H74+EKM!H74+TSR!H74+PLKD!H74+MLPM!H74+KKD!H74+WYND!H74+KNR!H74+KSRGD!H74+SHS!H74</f>
        <v>0</v>
      </c>
      <c r="I74" s="21">
        <f>TVM!I74+KLM!I74+PTA!I74+ALP!I74+KTM!I74+IDK!I74+EKM!I74+TSR!I74+PLKD!I74+MLPM!I74+KKD!I74+WYND!I74+KNR!I74+KSRGD!I74+SHS!I74</f>
        <v>0</v>
      </c>
      <c r="J74" s="21">
        <f>TVM!J74+KLM!J74+PTA!J74+ALP!J74+KTM!J74+IDK!J74+EKM!J74+TSR!J74+PLKD!J74+MLPM!J74+KKD!J74+WYND!J74+KNR!J74+KSRGD!J74+SHS!J74</f>
        <v>0</v>
      </c>
      <c r="K74" s="21"/>
      <c r="L74" s="22">
        <f>TVM!L74+KLM!L74+PTA!L74+ALP!L74+KTM!L74+IDK!L74+EKM!L74+TSR!L74+PLKD!L74+MLPM!L74+KKD!L74+WYND!L74+KNR!L74+KSRGD!L74+SHS!L74</f>
        <v>0</v>
      </c>
      <c r="M74" s="21"/>
      <c r="N74" s="21">
        <f>TVM!N74+KLM!N74+PTA!N74+ALP!N74+KTM!N74+IDK!N74+EKM!N74+TSR!N74+PLKD!N74+MLPM!N74+KKD!N74+WYND!N74+KNR!N74+KSRGD!N74+SHS!N74</f>
        <v>0</v>
      </c>
      <c r="O74" s="22">
        <f>TVM!O74+KLM!O74+PTA!O74+ALP!O74+KTM!O74+IDK!O74+EKM!O74+TSR!O74+PLKD!O74+MLPM!O74+KKD!O74+WYND!O74+KNR!O74+KSRGD!O74+SHS!O74</f>
        <v>0</v>
      </c>
      <c r="P74" s="22">
        <f>TVM!P74+KLM!P74+PTA!P74+ALP!P74+KTM!P74+IDK!P74+EKM!P74+TSR!P74+PLKD!P74+MLPM!P74+KKD!P74+WYND!P74+KNR!P74+KSRGD!P74+SHS!P74</f>
        <v>0</v>
      </c>
      <c r="Q74" s="21"/>
      <c r="R74" s="21">
        <f>TVM!R74+KLM!R74+PTA!R74+ALP!R74+KTM!R74+IDK!R74+EKM!R74+TSR!R74+PLKD!R74+MLPM!R74+KKD!R74+WYND!R74+KNR!R74+KSRGD!R74+SHS!R74</f>
        <v>0</v>
      </c>
      <c r="S74" s="21"/>
      <c r="T74" s="48">
        <f>TVM!T74+KLM!T74+PTA!T74+ALP!T74+KTM!T74+IDK!T74+EKM!T74+TSR!T74+PLKD!T74+MLPM!T74+KKD!T74+WYND!T74+KNR!T74+KSRGD!T74+SHS!T74</f>
        <v>62.88</v>
      </c>
      <c r="U74" s="21" t="s">
        <v>484</v>
      </c>
      <c r="V74" s="64">
        <f>TVM!V74+KLM!V74+PTA!V74+ALP!V74+KTM!V74+IDK!V74+EKM!V74+TSR!V74+PLKD!V74+MLPM!V74+KKD!V74+WYND!V74+KNR!V74+KSRGD!V74+SHS!V74</f>
        <v>33.700000000000003</v>
      </c>
      <c r="W74" s="65" t="s">
        <v>485</v>
      </c>
      <c r="X74" s="22">
        <f t="shared" si="2"/>
        <v>96.580000000000013</v>
      </c>
      <c r="Y74" s="61"/>
    </row>
    <row r="75" spans="1:26" ht="409.5">
      <c r="A75" s="498"/>
      <c r="B75" s="497" t="s">
        <v>115</v>
      </c>
      <c r="C75" s="497" t="s">
        <v>116</v>
      </c>
      <c r="D75" s="43">
        <v>69</v>
      </c>
      <c r="E75" s="43" t="s">
        <v>117</v>
      </c>
      <c r="F75" s="21">
        <f>TVM!F75+KLM!F75+PTA!F75+ALP!F75+KTM!F75+IDK!F75+EKM!F75+TSR!F75+PLKD!F75+MLPM!F75+KKD!F75+WYND!F75+KNR!F75+KSRGD!F75+SHS!F75</f>
        <v>0</v>
      </c>
      <c r="G75" s="21"/>
      <c r="H75" s="21">
        <f>TVM!H75+KLM!H75+PTA!H75+ALP!H75+KTM!H75+IDK!H75+EKM!H75+TSR!H75+PLKD!H75+MLPM!H75+KKD!H75+WYND!H75+KNR!H75+KSRGD!H75+SHS!H75</f>
        <v>0</v>
      </c>
      <c r="I75" s="21">
        <f>TVM!I75+KLM!I75+PTA!I75+ALP!I75+KTM!I75+IDK!I75+EKM!I75+TSR!I75+PLKD!I75+MLPM!I75+KKD!I75+WYND!I75+KNR!I75+KSRGD!I75+SHS!I75</f>
        <v>0</v>
      </c>
      <c r="J75" s="21">
        <f>TVM!J75+KLM!J75+PTA!J75+ALP!J75+KTM!J75+IDK!J75+EKM!J75+TSR!J75+PLKD!J75+MLPM!J75+KKD!J75+WYND!J75+KNR!J75+KSRGD!J75+SHS!J75</f>
        <v>0</v>
      </c>
      <c r="K75" s="21"/>
      <c r="L75" s="21">
        <f>TVM!L75+KLM!L75+PTA!L75+ALP!L75+KTM!L75+IDK!L75+EKM!L75+TSR!L75+PLKD!L75+MLPM!L75+KKD!L75+WYND!L75+KNR!L75+KSRGD!L75+SHS!L75</f>
        <v>0</v>
      </c>
      <c r="M75" s="21"/>
      <c r="N75" s="21">
        <f>TVM!N75+KLM!N75+PTA!N75+ALP!N75+KTM!N75+IDK!N75+EKM!N75+TSR!N75+PLKD!N75+MLPM!N75+KKD!N75+WYND!N75+KNR!N75+KSRGD!N75+SHS!N75</f>
        <v>0</v>
      </c>
      <c r="O75" s="21">
        <f>TVM!O75+KLM!O75+PTA!O75+ALP!O75+KTM!O75+IDK!O75+EKM!O75+TSR!O75+PLKD!O75+MLPM!O75+KKD!O75+WYND!O75+KNR!O75+KSRGD!O75+SHS!O75</f>
        <v>0</v>
      </c>
      <c r="P75" s="21">
        <f>TVM!P75+KLM!P75+PTA!P75+ALP!P75+KTM!P75+IDK!P75+EKM!P75+TSR!P75+PLKD!P75+MLPM!P75+KKD!P75+WYND!P75+KNR!P75+KSRGD!P75+SHS!P75</f>
        <v>0</v>
      </c>
      <c r="Q75" s="21"/>
      <c r="R75" s="21">
        <f>TVM!R75+KLM!R75+PTA!R75+ALP!R75+KTM!R75+IDK!R75+EKM!R75+TSR!R75+PLKD!R75+MLPM!R75+KKD!R75+WYND!R75+KNR!R75+KSRGD!R75+SHS!R75</f>
        <v>2.8000000000000003</v>
      </c>
      <c r="S75" s="23" t="s">
        <v>486</v>
      </c>
      <c r="T75" s="22">
        <f>TVM!T75+KLM!T75+PTA!T75+ALP!T75+KTM!T75+IDK!T75+EKM!T75+TSR!T75+PLKD!T75+MLPM!T75+KKD!T75+WYND!T75+KNR!T75+KSRGD!T75+SHS!T75</f>
        <v>1349.0884000000001</v>
      </c>
      <c r="U75" s="21"/>
      <c r="V75" s="21">
        <f>TVM!V75+KLM!V75+PTA!V75+ALP!V75+KTM!V75+IDK!V75+EKM!V75+TSR!V75+PLKD!V75+MLPM!V75+KKD!V75+WYND!V75+KNR!V75+KSRGD!V75+SHS!V75</f>
        <v>0</v>
      </c>
      <c r="W75" s="21"/>
      <c r="X75" s="22">
        <f t="shared" si="2"/>
        <v>1351.8884</v>
      </c>
      <c r="Y75" s="80" t="s">
        <v>1248</v>
      </c>
    </row>
    <row r="76" spans="1:26" ht="299.25">
      <c r="A76" s="498"/>
      <c r="B76" s="498"/>
      <c r="C76" s="498"/>
      <c r="D76" s="43">
        <v>70</v>
      </c>
      <c r="E76" s="43" t="s">
        <v>118</v>
      </c>
      <c r="F76" s="21">
        <f>TVM!F76+KLM!F76+PTA!F76+ALP!F76+KTM!F76+IDK!F76+EKM!F76+TSR!F76+PLKD!F76+MLPM!F76+KKD!F76+WYND!F76+KNR!F76+KSRGD!F76+SHS!F76</f>
        <v>2.4</v>
      </c>
      <c r="G76" s="21"/>
      <c r="H76" s="21">
        <f>TVM!H76+KLM!H76+PTA!H76+ALP!H76+KTM!H76+IDK!H76+EKM!H76+TSR!H76+PLKD!H76+MLPM!H76+KKD!H76+WYND!H76+KNR!H76+KSRGD!H76+SHS!H76</f>
        <v>0</v>
      </c>
      <c r="I76" s="21">
        <f>TVM!I76+KLM!I76+PTA!I76+ALP!I76+KTM!I76+IDK!I76+EKM!I76+TSR!I76+PLKD!I76+MLPM!I76+KKD!I76+WYND!I76+KNR!I76+KSRGD!I76+SHS!I76</f>
        <v>0</v>
      </c>
      <c r="J76" s="21">
        <f>TVM!J76+KLM!J76+PTA!J76+ALP!J76+KTM!J76+IDK!J76+EKM!J76+TSR!J76+PLKD!J76+MLPM!J76+KKD!J76+WYND!J76+KNR!J76+KSRGD!J76+SHS!J76</f>
        <v>0</v>
      </c>
      <c r="K76" s="21"/>
      <c r="L76" s="66">
        <f>TVM!L76+KLM!L76+PTA!L76+ALP!L76+KTM!L76+IDK!L76+EKM!L76+TSR!L76+PLKD!L76+MLPM!L76+KKD!L76+WYND!L76+KNR!L76+KSRGD!L76+SHS!L76</f>
        <v>2</v>
      </c>
      <c r="M76" s="21"/>
      <c r="N76" s="21">
        <f>TVM!N76+KLM!N76+PTA!N76+ALP!N76+KTM!N76+IDK!N76+EKM!N76+TSR!N76+PLKD!N76+MLPM!N76+KKD!N76+WYND!N76+KNR!N76+KSRGD!N76+SHS!N76</f>
        <v>0</v>
      </c>
      <c r="O76" s="21">
        <f>TVM!O76+KLM!O76+PTA!O76+ALP!O76+KTM!O76+IDK!O76+EKM!O76+TSR!O76+PLKD!O76+MLPM!O76+KKD!O76+WYND!O76+KNR!O76+KSRGD!O76+SHS!O76</f>
        <v>0</v>
      </c>
      <c r="P76" s="21">
        <f>TVM!P76+KLM!P76+PTA!P76+ALP!P76+KTM!P76+IDK!P76+EKM!P76+TSR!P76+PLKD!P76+MLPM!P76+KKD!P76+WYND!P76+KNR!P76+KSRGD!P76+SHS!P76</f>
        <v>0</v>
      </c>
      <c r="Q76" s="21"/>
      <c r="R76" s="21">
        <f>TVM!R76+KLM!R76+PTA!R76+ALP!R76+KTM!R76+IDK!R76+EKM!R76+TSR!R76+PLKD!R76+MLPM!R76+KKD!R76+WYND!R76+KNR!R76+KSRGD!R76+SHS!R76</f>
        <v>0</v>
      </c>
      <c r="S76" s="21"/>
      <c r="T76" s="22">
        <f>TVM!T76+KLM!T76+PTA!T76+ALP!T76+KTM!T76+IDK!T76+EKM!T76+TSR!T76+PLKD!T76+MLPM!T76+KKD!T76+WYND!T76+KNR!T76+KSRGD!T76+SHS!T76</f>
        <v>15.399999999999997</v>
      </c>
      <c r="U76" s="21"/>
      <c r="V76" s="21">
        <f>TVM!V76+KLM!V76+PTA!V76+ALP!V76+KTM!V76+IDK!V76+EKM!V76+TSR!V76+PLKD!V76+MLPM!V76+KKD!V76+WYND!V76+KNR!V76+KSRGD!V76+SHS!V76</f>
        <v>0</v>
      </c>
      <c r="W76" s="21"/>
      <c r="X76" s="22">
        <f t="shared" si="2"/>
        <v>19.799999999999997</v>
      </c>
      <c r="Y76" s="61" t="s">
        <v>487</v>
      </c>
    </row>
    <row r="77" spans="1:26" ht="15.75">
      <c r="A77" s="498"/>
      <c r="B77" s="498"/>
      <c r="C77" s="498"/>
      <c r="D77" s="43">
        <v>71</v>
      </c>
      <c r="E77" s="43" t="s">
        <v>119</v>
      </c>
      <c r="F77" s="21">
        <f>TVM!F77+KLM!F77+PTA!F77+ALP!F77+KTM!F77+IDK!F77+EKM!F77+TSR!F77+PLKD!F77+MLPM!F77+KKD!F77+WYND!F77+KNR!F77+KSRGD!F77+SHS!F77</f>
        <v>0</v>
      </c>
      <c r="G77" s="21"/>
      <c r="H77" s="21">
        <f>TVM!H77+KLM!H77+PTA!H77+ALP!H77+KTM!H77+IDK!H77+EKM!H77+TSR!H77+PLKD!H77+MLPM!H77+KKD!H77+WYND!H77+KNR!H77+KSRGD!H77+SHS!H77</f>
        <v>0</v>
      </c>
      <c r="I77" s="21">
        <f>TVM!I77+KLM!I77+PTA!I77+ALP!I77+KTM!I77+IDK!I77+EKM!I77+TSR!I77+PLKD!I77+MLPM!I77+KKD!I77+WYND!I77+KNR!I77+KSRGD!I77+SHS!I77</f>
        <v>0</v>
      </c>
      <c r="J77" s="21">
        <f>TVM!J77+KLM!J77+PTA!J77+ALP!J77+KTM!J77+IDK!J77+EKM!J77+TSR!J77+PLKD!J77+MLPM!J77+KKD!J77+WYND!J77+KNR!J77+KSRGD!J77+SHS!J77</f>
        <v>0</v>
      </c>
      <c r="K77" s="21"/>
      <c r="L77" s="21">
        <f>TVM!L77+KLM!L77+PTA!L77+ALP!L77+KTM!L77+IDK!L77+EKM!L77+TSR!L77+PLKD!L77+MLPM!L77+KKD!L77+WYND!L77+KNR!L77+KSRGD!L77+SHS!L77</f>
        <v>0</v>
      </c>
      <c r="M77" s="21"/>
      <c r="N77" s="21">
        <f>TVM!N77+KLM!N77+PTA!N77+ALP!N77+KTM!N77+IDK!N77+EKM!N77+TSR!N77+PLKD!N77+MLPM!N77+KKD!N77+WYND!N77+KNR!N77+KSRGD!N77+SHS!N77</f>
        <v>0</v>
      </c>
      <c r="O77" s="21">
        <f>TVM!O77+KLM!O77+PTA!O77+ALP!O77+KTM!O77+IDK!O77+EKM!O77+TSR!O77+PLKD!O77+MLPM!O77+KKD!O77+WYND!O77+KNR!O77+KSRGD!O77+SHS!O77</f>
        <v>0</v>
      </c>
      <c r="P77" s="21">
        <f>TVM!P77+KLM!P77+PTA!P77+ALP!P77+KTM!P77+IDK!P77+EKM!P77+TSR!P77+PLKD!P77+MLPM!P77+KKD!P77+WYND!P77+KNR!P77+KSRGD!P77+SHS!P77</f>
        <v>0</v>
      </c>
      <c r="Q77" s="21"/>
      <c r="R77" s="21">
        <f>TVM!R77+KLM!R77+PTA!R77+ALP!R77+KTM!R77+IDK!R77+EKM!R77+TSR!R77+PLKD!R77+MLPM!R77+KKD!R77+WYND!R77+KNR!R77+KSRGD!R77+SHS!R77</f>
        <v>0</v>
      </c>
      <c r="S77" s="21"/>
      <c r="T77" s="21">
        <f>TVM!T77+KLM!T77+PTA!T77+ALP!T77+KTM!T77+IDK!T77+EKM!T77+TSR!T77+PLKD!T77+MLPM!T77+KKD!T77+WYND!T77+KNR!T77+KSRGD!T77+SHS!T77</f>
        <v>0</v>
      </c>
      <c r="U77" s="21"/>
      <c r="V77" s="21">
        <f>TVM!V77+KLM!V77+PTA!V77+ALP!V77+KTM!V77+IDK!V77+EKM!V77+TSR!V77+PLKD!V77+MLPM!V77+KKD!V77+WYND!V77+KNR!V77+KSRGD!V77+SHS!V77</f>
        <v>0</v>
      </c>
      <c r="W77" s="21"/>
      <c r="X77" s="22">
        <f t="shared" si="2"/>
        <v>0</v>
      </c>
      <c r="Y77" s="61"/>
    </row>
    <row r="78" spans="1:26" ht="179.25" customHeight="1">
      <c r="A78" s="498"/>
      <c r="B78" s="496"/>
      <c r="C78" s="496"/>
      <c r="D78" s="43">
        <v>72</v>
      </c>
      <c r="E78" s="43" t="s">
        <v>120</v>
      </c>
      <c r="F78" s="21">
        <f>TVM!F78+KLM!F78+PTA!F78+ALP!F78+KTM!F78+IDK!F78+EKM!F78+TSR!F78+PLKD!F78+MLPM!F78+KKD!F78+WYND!F78+KNR!F78+KSRGD!F78+SHS!F78</f>
        <v>0</v>
      </c>
      <c r="G78" s="21"/>
      <c r="H78" s="21">
        <f>TVM!H78+KLM!H78+PTA!H78+ALP!H78+KTM!H78+IDK!H78+EKM!H78+TSR!H78+PLKD!H78+MLPM!H78+KKD!H78+WYND!H78+KNR!H78+KSRGD!H78+SHS!H78</f>
        <v>0</v>
      </c>
      <c r="I78" s="21">
        <f>TVM!I78+KLM!I78+PTA!I78+ALP!I78+KTM!I78+IDK!I78+EKM!I78+TSR!I78+PLKD!I78+MLPM!I78+KKD!I78+WYND!I78+KNR!I78+KSRGD!I78+SHS!I78</f>
        <v>0</v>
      </c>
      <c r="J78" s="21">
        <f>TVM!J78+KLM!J78+PTA!J78+ALP!J78+KTM!J78+IDK!J78+EKM!J78+TSR!J78+PLKD!J78+MLPM!J78+KKD!J78+WYND!J78+KNR!J78+KSRGD!J78+SHS!J78</f>
        <v>0</v>
      </c>
      <c r="K78" s="21"/>
      <c r="L78" s="21">
        <f>TVM!L78+KLM!L78+PTA!L78+ALP!L78+KTM!L78+IDK!L78+EKM!L78+TSR!L78+PLKD!L78+MLPM!L78+KKD!L78+WYND!L78+KNR!L78+KSRGD!L78+SHS!L78</f>
        <v>0</v>
      </c>
      <c r="M78" s="21"/>
      <c r="N78" s="21">
        <f>TVM!N78+KLM!N78+PTA!N78+ALP!N78+KTM!N78+IDK!N78+EKM!N78+TSR!N78+PLKD!N78+MLPM!N78+KKD!N78+WYND!N78+KNR!N78+KSRGD!N78+SHS!N78</f>
        <v>0</v>
      </c>
      <c r="O78" s="66">
        <f>TVM!O78+KLM!O78+PTA!O78+ALP!O78+KTM!O78+IDK!O78+EKM!O78+TSR!O78+PLKD!O78+MLPM!O78+KKD!O78+WYND!O78+KNR!O78+KSRGD!O78+SHS!O78</f>
        <v>0</v>
      </c>
      <c r="P78" s="66">
        <f>TVM!P78+KLM!P78+PTA!P78+ALP!P78+KTM!P78+IDK!P78+EKM!P78+TSR!P78+PLKD!P78+MLPM!P78+KKD!P78+WYND!P78+KNR!P78+KSRGD!P78+SHS!P78</f>
        <v>0</v>
      </c>
      <c r="Q78" s="21"/>
      <c r="R78" s="22">
        <f>TVM!R78+KLM!R78+PTA!R78+ALP!R78+KTM!R78+IDK!R78+EKM!R78+TSR!R78+PLKD!R78+MLPM!R78+KKD!R78+WYND!R78+KNR!R78+KSRGD!R78+SHS!R78</f>
        <v>0</v>
      </c>
      <c r="S78" s="21"/>
      <c r="T78" s="48">
        <f>TVM!T78+KLM!T78+PTA!T78+ALP!T78+KTM!T78+IDK!T78+EKM!T78+TSR!T78+PLKD!T78+MLPM!T78+KKD!T78+WYND!T78+KNR!T78+KSRGD!T78+SHS!T78</f>
        <v>8</v>
      </c>
      <c r="U78" s="21"/>
      <c r="V78" s="21">
        <f>TVM!V78+KLM!V78+PTA!V78+ALP!V78+KTM!V78+IDK!V78+EKM!V78+TSR!V78+PLKD!V78+MLPM!V78+KKD!V78+WYND!V78+KNR!V78+KSRGD!V78+SHS!V78</f>
        <v>0</v>
      </c>
      <c r="W78" s="21"/>
      <c r="X78" s="22">
        <f t="shared" si="2"/>
        <v>8</v>
      </c>
      <c r="Y78" s="61" t="s">
        <v>488</v>
      </c>
    </row>
    <row r="79" spans="1:26" ht="409.5" customHeight="1">
      <c r="A79" s="498"/>
      <c r="B79" s="518" t="s">
        <v>121</v>
      </c>
      <c r="C79" s="497" t="s">
        <v>122</v>
      </c>
      <c r="D79" s="43">
        <v>73</v>
      </c>
      <c r="E79" s="43" t="s">
        <v>123</v>
      </c>
      <c r="F79" s="68">
        <f>TVM!F79+KLM!F79+PTA!F79+ALP!F79+KTM!F79+IDK!F79+EKM!F79+TSR!F79+PLKD!F79+MLPM!F79+KKD!F79+WYND!F79+KNR!F79+KSRGD!F79+SHS!F79</f>
        <v>39.499999999999993</v>
      </c>
      <c r="G79" s="21" t="s">
        <v>489</v>
      </c>
      <c r="H79" s="68">
        <f>TVM!H79+KLM!H79+PTA!H79+ALP!H79+KTM!H79+IDK!H79+EKM!H79+TSR!H79+PLKD!H79+MLPM!H79+KKD!H79+WYND!H79+KNR!H79+KSRGD!H79+SHS!H79</f>
        <v>350</v>
      </c>
      <c r="I79" s="68">
        <f>TVM!I79+KLM!I79+PTA!I79+ALP!I79+KTM!I79+IDK!I79+EKM!I79+TSR!I79+PLKD!I79+MLPM!I79+KKD!I79+WYND!I79+KNR!I79+KSRGD!I79+SHS!I79</f>
        <v>30</v>
      </c>
      <c r="J79" s="68">
        <f>TVM!J79+KLM!J79+PTA!J79+ALP!J79+KTM!J79+IDK!J79+EKM!J79+TSR!J79+PLKD!J79+MLPM!J79+KKD!J79+WYND!J79+KNR!J79+KSRGD!J79+SHS!J79</f>
        <v>380</v>
      </c>
      <c r="K79" s="21" t="s">
        <v>490</v>
      </c>
      <c r="L79" s="68">
        <f>TVM!L79+KLM!L79+PTA!L79+ALP!L79+KTM!L79+IDK!L79+EKM!L79+TSR!L79+PLKD!L79+MLPM!L79+KKD!L79+WYND!L79+KNR!L79+KSRGD!L79+SHS!L79</f>
        <v>40</v>
      </c>
      <c r="M79" s="21" t="s">
        <v>491</v>
      </c>
      <c r="N79" s="68">
        <f>TVM!N79+KLM!N79+PTA!N79+ALP!N79+KTM!N79+IDK!N79+EKM!N79+TSR!N79+PLKD!N79+MLPM!N79+KKD!N79+WYND!N79+KNR!N79+KSRGD!N79+SHS!N79</f>
        <v>0</v>
      </c>
      <c r="O79" s="68">
        <f>TVM!O79+KLM!O79+PTA!O79+ALP!O79+KTM!O79+IDK!O79+EKM!O79+TSR!O79+PLKD!O79+MLPM!O79+KKD!O79+WYND!O79+KNR!O79+KSRGD!O79+SHS!O79</f>
        <v>200.1</v>
      </c>
      <c r="P79" s="68">
        <f>TVM!P79+KLM!P79+PTA!P79+ALP!P79+KTM!P79+IDK!P79+EKM!P79+TSR!P79+PLKD!P79+MLPM!P79+KKD!P79+WYND!P79+KNR!P79+KSRGD!P79+SHS!P79</f>
        <v>200.1</v>
      </c>
      <c r="Q79" s="21" t="s">
        <v>492</v>
      </c>
      <c r="R79" s="68">
        <f>TVM!R79+KLM!R79+PTA!R79+ALP!R79+KTM!R79+IDK!R79+EKM!R79+TSR!R79+PLKD!R79+MLPM!R79+KKD!R79+WYND!R79+KNR!R79+KSRGD!R79+SHS!R79</f>
        <v>145</v>
      </c>
      <c r="S79" s="21" t="s">
        <v>493</v>
      </c>
      <c r="T79" s="21">
        <f>TVM!T79+KLM!T79+PTA!T79+ALP!T79+KTM!T79+IDK!T79+EKM!T79+TSR!T79+PLKD!T79+MLPM!T79+KKD!T79+WYND!T79+KNR!T79+KSRGD!T79+SHS!T79</f>
        <v>17.2</v>
      </c>
      <c r="U79" s="21"/>
      <c r="V79" s="68">
        <f>TVM!V79+KLM!V79+PTA!V79+ALP!V79+KTM!V79+IDK!V79+EKM!V79+TSR!V79+PLKD!V79+MLPM!V79+KKD!V79+WYND!V79+KNR!V79+KSRGD!V79+SHS!V79</f>
        <v>40.5</v>
      </c>
      <c r="W79" s="21" t="s">
        <v>494</v>
      </c>
      <c r="X79" s="22">
        <f t="shared" si="2"/>
        <v>862.30000000000007</v>
      </c>
      <c r="Y79" s="46" t="s">
        <v>495</v>
      </c>
      <c r="Z79" s="69"/>
    </row>
    <row r="80" spans="1:26" ht="169.5" customHeight="1">
      <c r="A80" s="498"/>
      <c r="B80" s="519"/>
      <c r="C80" s="498"/>
      <c r="D80" s="43">
        <v>74</v>
      </c>
      <c r="E80" s="43" t="s">
        <v>124</v>
      </c>
      <c r="F80" s="68">
        <f>TVM!F80+KLM!F80+PTA!F80+ALP!F80+KTM!F80+IDK!F80+EKM!F80+TSR!F80+PLKD!F80+MLPM!F80+KKD!F80+WYND!F80+KNR!F80+KSRGD!F80+SHS!F80</f>
        <v>969.6</v>
      </c>
      <c r="G80" s="52" t="s">
        <v>496</v>
      </c>
      <c r="H80" s="68">
        <f>TVM!H80+KLM!H80+PTA!H80+ALP!H80+KTM!H80+IDK!H80+EKM!H80+TSR!H80+PLKD!H80+MLPM!H80+KKD!H80+WYND!H80+KNR!H80+KSRGD!H80+SHS!H80</f>
        <v>0</v>
      </c>
      <c r="I80" s="21">
        <f>TVM!I80+KLM!I80+PTA!I80+ALP!I80+KTM!I80+IDK!I80+EKM!I80+TSR!I80+PLKD!I80+MLPM!I80+KKD!I80+WYND!I80+KNR!I80+KSRGD!I80+SHS!I80</f>
        <v>0</v>
      </c>
      <c r="J80" s="68">
        <f>TVM!J80+KLM!J80+PTA!J80+ALP!J80+KTM!J80+IDK!J80+EKM!J80+TSR!J80+PLKD!J80+MLPM!J80+KKD!J80+WYND!J80+KNR!J80+KSRGD!J80+SHS!J80</f>
        <v>0</v>
      </c>
      <c r="K80" s="21"/>
      <c r="L80" s="21">
        <f>TVM!L80+KLM!L80+PTA!L80+ALP!L80+KTM!L80+IDK!L80+EKM!L80+TSR!L80+PLKD!L80+MLPM!L80+KKD!L80+WYND!L80+KNR!L80+KSRGD!L80+SHS!L80</f>
        <v>0</v>
      </c>
      <c r="M80" s="21"/>
      <c r="N80" s="21">
        <f>TVM!N80+KLM!N80+PTA!N80+ALP!N80+KTM!N80+IDK!N80+EKM!N80+TSR!N80+PLKD!N80+MLPM!N80+KKD!N80+WYND!N80+KNR!N80+KSRGD!N80+SHS!N80</f>
        <v>0</v>
      </c>
      <c r="O80" s="21">
        <f>TVM!O80+KLM!O80+PTA!O80+ALP!O80+KTM!O80+IDK!O80+EKM!O80+TSR!O80+PLKD!O80+MLPM!O80+KKD!O80+WYND!O80+KNR!O80+KSRGD!O80+SHS!O80</f>
        <v>0</v>
      </c>
      <c r="P80" s="21">
        <f>TVM!P80+KLM!P80+PTA!P80+ALP!P80+KTM!P80+IDK!P80+EKM!P80+TSR!P80+PLKD!P80+MLPM!P80+KKD!P80+WYND!P80+KNR!P80+KSRGD!P80+SHS!P80</f>
        <v>0</v>
      </c>
      <c r="Q80" s="21"/>
      <c r="R80" s="21">
        <f>TVM!R80+KLM!R80+PTA!R80+ALP!R80+KTM!R80+IDK!R80+EKM!R80+TSR!R80+PLKD!R80+MLPM!R80+KKD!R80+WYND!R80+KNR!R80+KSRGD!R80+SHS!R80</f>
        <v>0</v>
      </c>
      <c r="S80" s="21"/>
      <c r="T80" s="21">
        <f>TVM!T80+KLM!T80+PTA!T80+ALP!T80+KTM!T80+IDK!T80+EKM!T80+TSR!T80+PLKD!T80+MLPM!T80+KKD!T80+WYND!T80+KNR!T80+KSRGD!T80+SHS!T80</f>
        <v>0</v>
      </c>
      <c r="U80" s="21"/>
      <c r="V80" s="21">
        <f>TVM!V80+KLM!V80+PTA!V80+ALP!V80+KTM!V80+IDK!V80+EKM!V80+TSR!V80+PLKD!V80+MLPM!V80+KKD!V80+WYND!V80+KNR!V80+KSRGD!V80+SHS!V80</f>
        <v>0</v>
      </c>
      <c r="W80" s="21"/>
      <c r="X80" s="22">
        <f t="shared" si="2"/>
        <v>969.6</v>
      </c>
      <c r="Y80" s="46" t="s">
        <v>497</v>
      </c>
      <c r="Z80" s="69"/>
    </row>
    <row r="81" spans="1:26" ht="409.5">
      <c r="A81" s="498"/>
      <c r="B81" s="519"/>
      <c r="C81" s="498"/>
      <c r="D81" s="43">
        <v>75</v>
      </c>
      <c r="E81" s="43" t="s">
        <v>125</v>
      </c>
      <c r="F81" s="68">
        <f>TVM!F81+KLM!F81+PTA!F81+ALP!F81+KTM!F81+IDK!F81+EKM!F81+TSR!F81+PLKD!F81+MLPM!F81+KKD!F81+WYND!F81+KNR!F81+KSRGD!F81+SHS!F81</f>
        <v>28.2</v>
      </c>
      <c r="G81" s="21" t="s">
        <v>498</v>
      </c>
      <c r="H81" s="68">
        <f>TVM!H81+KLM!H81+PTA!H81+ALP!H81+KTM!H81+IDK!H81+EKM!H81+TSR!H81+PLKD!H81+MLPM!H81+KKD!H81+WYND!H81+KNR!H81+KSRGD!H81+SHS!H81</f>
        <v>0</v>
      </c>
      <c r="I81" s="21">
        <f>TVM!I81+KLM!I81+PTA!I81+ALP!I81+KTM!I81+IDK!I81+EKM!I81+TSR!I81+PLKD!I81+MLPM!I81+KKD!I81+WYND!I81+KNR!I81+KSRGD!I81+SHS!I81</f>
        <v>0</v>
      </c>
      <c r="J81" s="68">
        <f>TVM!J81+KLM!J81+PTA!J81+ALP!J81+KTM!J81+IDK!J81+EKM!J81+TSR!J81+PLKD!J81+MLPM!J81+KKD!J81+WYND!J81+KNR!J81+KSRGD!J81+SHS!J81</f>
        <v>0</v>
      </c>
      <c r="K81" s="21"/>
      <c r="L81" s="21">
        <f>TVM!L81+KLM!L81+PTA!L81+ALP!L81+KTM!L81+IDK!L81+EKM!L81+TSR!L81+PLKD!L81+MLPM!L81+KKD!L81+WYND!L81+KNR!L81+KSRGD!L81+SHS!L81</f>
        <v>0</v>
      </c>
      <c r="M81" s="21"/>
      <c r="N81" s="21">
        <f>TVM!N81+KLM!N81+PTA!N81+ALP!N81+KTM!N81+IDK!N81+EKM!N81+TSR!N81+PLKD!N81+MLPM!N81+KKD!N81+WYND!N81+KNR!N81+KSRGD!N81+SHS!N81</f>
        <v>0</v>
      </c>
      <c r="O81" s="21">
        <f>TVM!O81+KLM!O81+PTA!O81+ALP!O81+KTM!O81+IDK!O81+EKM!O81+TSR!O81+PLKD!O81+MLPM!O81+KKD!O81+WYND!O81+KNR!O81+KSRGD!O81+SHS!O81</f>
        <v>0</v>
      </c>
      <c r="P81" s="21">
        <f>TVM!P81+KLM!P81+PTA!P81+ALP!P81+KTM!P81+IDK!P81+EKM!P81+TSR!P81+PLKD!P81+MLPM!P81+KKD!P81+WYND!P81+KNR!P81+KSRGD!P81+SHS!P81</f>
        <v>0</v>
      </c>
      <c r="Q81" s="21"/>
      <c r="R81" s="21">
        <f>TVM!R81+KLM!R81+PTA!R81+ALP!R81+KTM!R81+IDK!R81+EKM!R81+TSR!R81+PLKD!R81+MLPM!R81+KKD!R81+WYND!R81+KNR!R81+KSRGD!R81+SHS!R81</f>
        <v>137.25</v>
      </c>
      <c r="S81" s="21"/>
      <c r="T81" s="68">
        <f>TVM!T81+KLM!T81+PTA!T81+ALP!T81+KTM!T81+IDK!T81+EKM!T81+TSR!T81+PLKD!T81+MLPM!T81+KKD!T81+WYND!T81+KNR!T81+KSRGD!T81+SHS!T81</f>
        <v>29.449999999999996</v>
      </c>
      <c r="U81" s="21" t="s">
        <v>499</v>
      </c>
      <c r="V81" s="21">
        <f>TVM!V81+KLM!V81+PTA!V81+ALP!V81+KTM!V81+IDK!V81+EKM!V81+TSR!V81+PLKD!V81+MLPM!V81+KKD!V81+WYND!V81+KNR!V81+KSRGD!V81+SHS!V81</f>
        <v>0</v>
      </c>
      <c r="W81" s="21"/>
      <c r="X81" s="22">
        <f t="shared" si="2"/>
        <v>194.89999999999998</v>
      </c>
      <c r="Y81" s="46" t="s">
        <v>500</v>
      </c>
      <c r="Z81" s="69"/>
    </row>
    <row r="82" spans="1:26" ht="409.5">
      <c r="A82" s="498"/>
      <c r="B82" s="519"/>
      <c r="C82" s="498"/>
      <c r="D82" s="43">
        <v>76</v>
      </c>
      <c r="E82" s="43" t="s">
        <v>126</v>
      </c>
      <c r="F82" s="21">
        <f>TVM!F82+KLM!F82+PTA!F82+ALP!F82+KTM!F82+IDK!F82+EKM!F82+TSR!F82+PLKD!F82+MLPM!F82+KKD!F82+WYND!F82+KNR!F82+KSRGD!F82+SHS!F82</f>
        <v>28.3</v>
      </c>
      <c r="G82" s="21" t="s">
        <v>501</v>
      </c>
      <c r="H82" s="21">
        <f>TVM!H82+KLM!H82+PTA!H82+ALP!H82+KTM!H82+IDK!H82+EKM!H82+TSR!H82+PLKD!H82+MLPM!H82+KKD!H82+WYND!H82+KNR!H82+KSRGD!H82+SHS!H82</f>
        <v>0</v>
      </c>
      <c r="I82" s="21">
        <f>TVM!I82+KLM!I82+PTA!I82+ALP!I82+KTM!I82+IDK!I82+EKM!I82+TSR!I82+PLKD!I82+MLPM!I82+KKD!I82+WYND!I82+KNR!I82+KSRGD!I82+SHS!I82</f>
        <v>0</v>
      </c>
      <c r="J82" s="21">
        <f>TVM!J82+KLM!J82+PTA!J82+ALP!J82+KTM!J82+IDK!J82+EKM!J82+TSR!J82+PLKD!J82+MLPM!J82+KKD!J82+WYND!J82+KNR!J82+KSRGD!J82+SHS!J82</f>
        <v>0</v>
      </c>
      <c r="K82" s="21"/>
      <c r="L82" s="21">
        <f>TVM!L82+KLM!L82+PTA!L82+ALP!L82+KTM!L82+IDK!L82+EKM!L82+TSR!L82+PLKD!L82+MLPM!L82+KKD!L82+WYND!L82+KNR!L82+KSRGD!L82+SHS!L82</f>
        <v>0</v>
      </c>
      <c r="M82" s="21"/>
      <c r="N82" s="21">
        <f>TVM!N82+KLM!N82+PTA!N82+ALP!N82+KTM!N82+IDK!N82+EKM!N82+TSR!N82+PLKD!N82+MLPM!N82+KKD!N82+WYND!N82+KNR!N82+KSRGD!N82+SHS!N82</f>
        <v>0</v>
      </c>
      <c r="O82" s="68">
        <f>TVM!O82+KLM!O82+PTA!O82+ALP!O82+KTM!O82+IDK!O82+EKM!O82+TSR!O82+PLKD!O82+MLPM!O82+KKD!O82+WYND!O82+KNR!O82+KSRGD!O82+SHS!O82</f>
        <v>25</v>
      </c>
      <c r="P82" s="68">
        <f>TVM!P82+KLM!P82+PTA!P82+ALP!P82+KTM!P82+IDK!P82+EKM!P82+TSR!P82+PLKD!P82+MLPM!P82+KKD!P82+WYND!P82+KNR!P82+KSRGD!P82+SHS!P82</f>
        <v>25</v>
      </c>
      <c r="Q82" s="21" t="s">
        <v>502</v>
      </c>
      <c r="R82" s="68">
        <f>TVM!R82+KLM!R82+PTA!R82+ALP!R82+KTM!R82+IDK!R82+EKM!R82+TSR!R82+PLKD!R82+MLPM!R82+KKD!R82+WYND!R82+KNR!R82+KSRGD!R82+SHS!R82</f>
        <v>95</v>
      </c>
      <c r="S82" s="21" t="s">
        <v>503</v>
      </c>
      <c r="T82" s="21">
        <f>TVM!T82+KLM!T82+PTA!T82+ALP!T82+KTM!T82+IDK!T82+EKM!T82+TSR!T82+PLKD!T82+MLPM!T82+KKD!T82+WYND!T82+KNR!T82+KSRGD!T82+SHS!T82</f>
        <v>0</v>
      </c>
      <c r="U82" s="21"/>
      <c r="V82" s="21">
        <f>TVM!V82+KLM!V82+PTA!V82+ALP!V82+KTM!V82+IDK!V82+EKM!V82+TSR!V82+PLKD!V82+MLPM!V82+KKD!V82+WYND!V82+KNR!V82+KSRGD!V82+SHS!V82</f>
        <v>0</v>
      </c>
      <c r="W82" s="21"/>
      <c r="X82" s="22">
        <f t="shared" si="2"/>
        <v>148.30000000000001</v>
      </c>
      <c r="Y82" s="46" t="s">
        <v>504</v>
      </c>
      <c r="Z82" s="69"/>
    </row>
    <row r="83" spans="1:26" ht="409.5">
      <c r="A83" s="498"/>
      <c r="B83" s="519"/>
      <c r="C83" s="498"/>
      <c r="D83" s="43">
        <v>77</v>
      </c>
      <c r="E83" s="43" t="s">
        <v>127</v>
      </c>
      <c r="F83" s="68">
        <f>TVM!F83+KLM!F83+PTA!F83+ALP!F83+KTM!F83+IDK!F83+EKM!F83+TSR!F83+PLKD!F83+MLPM!F83+KKD!F83+WYND!F83+KNR!F83+KSRGD!F83+SHS!F83</f>
        <v>5.8999999999999995</v>
      </c>
      <c r="G83" s="21" t="s">
        <v>505</v>
      </c>
      <c r="H83" s="68">
        <f>TVM!H83+KLM!H83+PTA!H83+ALP!H83+KTM!H83+IDK!H83+EKM!H83+TSR!H83+PLKD!H83+MLPM!H83+KKD!H83+WYND!H83+KNR!H83+KSRGD!H83+SHS!H83</f>
        <v>0</v>
      </c>
      <c r="I83" s="68">
        <f>TVM!I83+KLM!I83+PTA!I83+ALP!I83+KTM!I83+IDK!I83+EKM!I83+TSR!I83+PLKD!I83+MLPM!I83+KKD!I83+WYND!I83+KNR!I83+KSRGD!I83+SHS!I83</f>
        <v>15</v>
      </c>
      <c r="J83" s="68">
        <f>TVM!J83+KLM!J83+PTA!J83+ALP!J83+KTM!J83+IDK!J83+EKM!J83+TSR!J83+PLKD!J83+MLPM!J83+KKD!J83+WYND!J83+KNR!J83+KSRGD!J83+SHS!J83</f>
        <v>15</v>
      </c>
      <c r="K83" s="21" t="s">
        <v>506</v>
      </c>
      <c r="L83" s="68">
        <f>TVM!L83+KLM!L83+PTA!L83+ALP!L83+KTM!L83+IDK!L83+EKM!L83+TSR!L83+PLKD!L83+MLPM!L83+KKD!L83+WYND!L83+KNR!L83+KSRGD!L83+SHS!L83</f>
        <v>261.37</v>
      </c>
      <c r="M83" s="21" t="s">
        <v>507</v>
      </c>
      <c r="N83" s="21">
        <f>TVM!N83+KLM!N83+PTA!N83+ALP!N83+KTM!N83+IDK!N83+EKM!N83+TSR!N83+PLKD!N83+MLPM!N83+KKD!N83+WYND!N83+KNR!N83+KSRGD!N83+SHS!N83</f>
        <v>0</v>
      </c>
      <c r="O83" s="68">
        <f>TVM!O83+KLM!O83+PTA!O83+ALP!O83+KTM!O83+IDK!O83+EKM!O83+TSR!O83+PLKD!O83+MLPM!O83+KKD!O83+WYND!O83+KNR!O83+KSRGD!O83+SHS!O83</f>
        <v>35</v>
      </c>
      <c r="P83" s="68">
        <f>TVM!P83+KLM!P83+PTA!P83+ALP!P83+KTM!P83+IDK!P83+EKM!P83+TSR!P83+PLKD!P83+MLPM!P83+KKD!P83+WYND!P83+KNR!P83+KSRGD!P83+SHS!P83</f>
        <v>35</v>
      </c>
      <c r="Q83" s="21" t="s">
        <v>508</v>
      </c>
      <c r="R83" s="68">
        <f>TVM!R83+KLM!R83+PTA!R83+ALP!R83+KTM!R83+IDK!R83+EKM!R83+TSR!R83+PLKD!R83+MLPM!R83+KKD!R83+WYND!R83+KNR!R83+KSRGD!R83+SHS!R83</f>
        <v>1505.5</v>
      </c>
      <c r="S83" s="21" t="s">
        <v>509</v>
      </c>
      <c r="T83" s="21">
        <f>TVM!T83+KLM!T83+PTA!T83+ALP!T83+KTM!T83+IDK!T83+EKM!T83+TSR!T83+PLKD!T83+MLPM!T83+KKD!T83+WYND!T83+KNR!T83+KSRGD!T83+SHS!T83</f>
        <v>0</v>
      </c>
      <c r="U83" s="21"/>
      <c r="V83" s="68">
        <f>TVM!V83+KLM!V83+PTA!V83+ALP!V83+KTM!V83+IDK!V83+EKM!V83+TSR!V83+PLKD!V83+MLPM!V83+KKD!V83+WYND!V83+KNR!V83+KSRGD!V83+SHS!V83</f>
        <v>0</v>
      </c>
      <c r="W83" s="21" t="s">
        <v>510</v>
      </c>
      <c r="X83" s="22">
        <f t="shared" si="2"/>
        <v>1822.77</v>
      </c>
      <c r="Y83" s="46" t="s">
        <v>511</v>
      </c>
      <c r="Z83" s="69"/>
    </row>
    <row r="84" spans="1:26" ht="31.5">
      <c r="A84" s="498"/>
      <c r="B84" s="519"/>
      <c r="C84" s="498"/>
      <c r="D84" s="43">
        <v>78</v>
      </c>
      <c r="E84" s="43" t="s">
        <v>128</v>
      </c>
      <c r="F84" s="21">
        <f>TVM!F84+KLM!F84+PTA!F84+ALP!F84+KTM!F84+IDK!F84+EKM!F84+TSR!F84+PLKD!F84+MLPM!F84+KKD!F84+WYND!F84+KNR!F84+KSRGD!F84+SHS!F84</f>
        <v>0</v>
      </c>
      <c r="G84" s="21"/>
      <c r="H84" s="21">
        <f>TVM!H84+KLM!H84+PTA!H84+ALP!H84+KTM!H84+IDK!H84+EKM!H84+TSR!H84+PLKD!H84+MLPM!H84+KKD!H84+WYND!H84+KNR!H84+KSRGD!H84+SHS!H84</f>
        <v>0</v>
      </c>
      <c r="I84" s="21">
        <f>TVM!I84+KLM!I84+PTA!I84+ALP!I84+KTM!I84+IDK!I84+EKM!I84+TSR!I84+PLKD!I84+MLPM!I84+KKD!I84+WYND!I84+KNR!I84+KSRGD!I84+SHS!I84</f>
        <v>0</v>
      </c>
      <c r="J84" s="21">
        <f>TVM!J84+KLM!J84+PTA!J84+ALP!J84+KTM!J84+IDK!J84+EKM!J84+TSR!J84+PLKD!J84+MLPM!J84+KKD!J84+WYND!J84+KNR!J84+KSRGD!J84+SHS!J84</f>
        <v>0</v>
      </c>
      <c r="K84" s="21"/>
      <c r="L84" s="21">
        <f>TVM!L84+KLM!L84+PTA!L84+ALP!L84+KTM!L84+IDK!L84+EKM!L84+TSR!L84+PLKD!L84+MLPM!L84+KKD!L84+WYND!L84+KNR!L84+KSRGD!L84+SHS!L84</f>
        <v>0</v>
      </c>
      <c r="M84" s="21"/>
      <c r="N84" s="21">
        <f>TVM!N84+KLM!N84+PTA!N84+ALP!N84+KTM!N84+IDK!N84+EKM!N84+TSR!N84+PLKD!N84+MLPM!N84+KKD!N84+WYND!N84+KNR!N84+KSRGD!N84+SHS!N84</f>
        <v>0</v>
      </c>
      <c r="O84" s="21">
        <f>TVM!O84+KLM!O84+PTA!O84+ALP!O84+KTM!O84+IDK!O84+EKM!O84+TSR!O84+PLKD!O84+MLPM!O84+KKD!O84+WYND!O84+KNR!O84+KSRGD!O84+SHS!O84</f>
        <v>0</v>
      </c>
      <c r="P84" s="21">
        <f>TVM!P84+KLM!P84+PTA!P84+ALP!P84+KTM!P84+IDK!P84+EKM!P84+TSR!P84+PLKD!P84+MLPM!P84+KKD!P84+WYND!P84+KNR!P84+KSRGD!P84+SHS!P84</f>
        <v>0</v>
      </c>
      <c r="Q84" s="21"/>
      <c r="R84" s="21">
        <f>TVM!R84+KLM!R84+PTA!R84+ALP!R84+KTM!R84+IDK!R84+EKM!R84+TSR!R84+PLKD!R84+MLPM!R84+KKD!R84+WYND!R84+KNR!R84+KSRGD!R84+SHS!R84</f>
        <v>0</v>
      </c>
      <c r="S84" s="21"/>
      <c r="T84" s="21">
        <f>TVM!T84+KLM!T84+PTA!T84+ALP!T84+KTM!T84+IDK!T84+EKM!T84+TSR!T84+PLKD!T84+MLPM!T84+KKD!T84+WYND!T84+KNR!T84+KSRGD!T84+SHS!T84</f>
        <v>0</v>
      </c>
      <c r="U84" s="21"/>
      <c r="V84" s="21">
        <f>TVM!V84+KLM!V84+PTA!V84+ALP!V84+KTM!V84+IDK!V84+EKM!V84+TSR!V84+PLKD!V84+MLPM!V84+KKD!V84+WYND!V84+KNR!V84+KSRGD!V84+SHS!V84</f>
        <v>0</v>
      </c>
      <c r="W84" s="21"/>
      <c r="X84" s="22">
        <f t="shared" si="2"/>
        <v>0</v>
      </c>
      <c r="Y84" s="46"/>
    </row>
    <row r="85" spans="1:26" ht="36" customHeight="1">
      <c r="A85" s="498"/>
      <c r="B85" s="520"/>
      <c r="C85" s="496"/>
      <c r="D85" s="43">
        <v>79</v>
      </c>
      <c r="E85" s="43" t="s">
        <v>44</v>
      </c>
      <c r="F85" s="21">
        <f>TVM!F85+KLM!F85+PTA!F85+ALP!F85+KTM!F85+IDK!F85+EKM!F85+TSR!F85+PLKD!F85+MLPM!F85+KKD!F85+WYND!F85+KNR!F85+KSRGD!F85+SHS!F85</f>
        <v>0</v>
      </c>
      <c r="G85" s="21"/>
      <c r="H85" s="21">
        <f>TVM!H85+KLM!H85+PTA!H85+ALP!H85+KTM!H85+IDK!H85+EKM!H85+TSR!H85+PLKD!H85+MLPM!H85+KKD!H85+WYND!H85+KNR!H85+KSRGD!H85+SHS!H85</f>
        <v>0</v>
      </c>
      <c r="I85" s="21">
        <f>TVM!I85+KLM!I85+PTA!I85+ALP!I85+KTM!I85+IDK!I85+EKM!I85+TSR!I85+PLKD!I85+MLPM!I85+KKD!I85+WYND!I85+KNR!I85+KSRGD!I85+SHS!I85</f>
        <v>0</v>
      </c>
      <c r="J85" s="21">
        <f>TVM!J85+KLM!J85+PTA!J85+ALP!J85+KTM!J85+IDK!J85+EKM!J85+TSR!J85+PLKD!J85+MLPM!J85+KKD!J85+WYND!J85+KNR!J85+KSRGD!J85+SHS!J85</f>
        <v>0</v>
      </c>
      <c r="K85" s="21"/>
      <c r="L85" s="21">
        <f>TVM!L85+KLM!L85+PTA!L85+ALP!L85+KTM!L85+IDK!L85+EKM!L85+TSR!L85+PLKD!L85+MLPM!L85+KKD!L85+WYND!L85+KNR!L85+KSRGD!L85+SHS!L85</f>
        <v>0</v>
      </c>
      <c r="M85" s="21"/>
      <c r="N85" s="21">
        <f>TVM!N85+KLM!N85+PTA!N85+ALP!N85+KTM!N85+IDK!N85+EKM!N85+TSR!N85+PLKD!N85+MLPM!N85+KKD!N85+WYND!N85+KNR!N85+KSRGD!N85+SHS!N85</f>
        <v>0</v>
      </c>
      <c r="O85" s="21">
        <f>TVM!O85+KLM!O85+PTA!O85+ALP!O85+KTM!O85+IDK!O85+EKM!O85+TSR!O85+PLKD!O85+MLPM!O85+KKD!O85+WYND!O85+KNR!O85+KSRGD!O85+SHS!O85</f>
        <v>0</v>
      </c>
      <c r="P85" s="21">
        <f>TVM!P85+KLM!P85+PTA!P85+ALP!P85+KTM!P85+IDK!P85+EKM!P85+TSR!P85+PLKD!P85+MLPM!P85+KKD!P85+WYND!P85+KNR!P85+KSRGD!P85+SHS!P85</f>
        <v>0</v>
      </c>
      <c r="Q85" s="21"/>
      <c r="R85" s="21">
        <f>TVM!R85+KLM!R85+PTA!R85+ALP!R85+KTM!R85+IDK!R85+EKM!R85+TSR!R85+PLKD!R85+MLPM!R85+KKD!R85+WYND!R85+KNR!R85+KSRGD!R85+SHS!R85</f>
        <v>0</v>
      </c>
      <c r="S85" s="21"/>
      <c r="T85" s="21">
        <f>TVM!T85+KLM!T85+PTA!T85+ALP!T85+KTM!T85+IDK!T85+EKM!T85+TSR!T85+PLKD!T85+MLPM!T85+KKD!T85+WYND!T85+KNR!T85+KSRGD!T85+SHS!T85</f>
        <v>0</v>
      </c>
      <c r="U85" s="21"/>
      <c r="V85" s="21">
        <f>TVM!V85+KLM!V85+PTA!V85+ALP!V85+KTM!V85+IDK!V85+EKM!V85+TSR!V85+PLKD!V85+MLPM!V85+KKD!V85+WYND!V85+KNR!V85+KSRGD!V85+SHS!V85</f>
        <v>0</v>
      </c>
      <c r="W85" s="21"/>
      <c r="X85" s="22">
        <f t="shared" si="2"/>
        <v>0</v>
      </c>
      <c r="Y85" s="46"/>
    </row>
    <row r="86" spans="1:26" ht="48" customHeight="1">
      <c r="A86" s="498"/>
      <c r="B86" s="497" t="s">
        <v>129</v>
      </c>
      <c r="C86" s="497" t="s">
        <v>130</v>
      </c>
      <c r="D86" s="43">
        <v>80</v>
      </c>
      <c r="E86" s="43" t="s">
        <v>131</v>
      </c>
      <c r="F86" s="21">
        <f>TVM!F86+KLM!F86+PTA!F86+ALP!F86+KTM!F86+IDK!F86+EKM!F86+TSR!F86+PLKD!F86+MLPM!F86+KKD!F86+WYND!F86+KNR!F86+KSRGD!F86+SHS!F86</f>
        <v>0</v>
      </c>
      <c r="G86" s="21"/>
      <c r="H86" s="21">
        <f>TVM!H86+KLM!H86+PTA!H86+ALP!H86+KTM!H86+IDK!H86+EKM!H86+TSR!H86+PLKD!H86+MLPM!H86+KKD!H86+WYND!H86+KNR!H86+KSRGD!H86+SHS!H86</f>
        <v>0</v>
      </c>
      <c r="I86" s="21">
        <f>TVM!I86+KLM!I86+PTA!I86+ALP!I86+KTM!I86+IDK!I86+EKM!I86+TSR!I86+PLKD!I86+MLPM!I86+KKD!I86+WYND!I86+KNR!I86+KSRGD!I86+SHS!I86</f>
        <v>0</v>
      </c>
      <c r="J86" s="21">
        <f>TVM!J86+KLM!J86+PTA!J86+ALP!J86+KTM!J86+IDK!J86+EKM!J86+TSR!J86+PLKD!J86+MLPM!J86+KKD!J86+WYND!J86+KNR!J86+KSRGD!J86+SHS!J86</f>
        <v>0</v>
      </c>
      <c r="K86" s="21"/>
      <c r="L86" s="21">
        <f>TVM!L86+KLM!L86+PTA!L86+ALP!L86+KTM!L86+IDK!L86+EKM!L86+TSR!L86+PLKD!L86+MLPM!L86+KKD!L86+WYND!L86+KNR!L86+KSRGD!L86+SHS!L86</f>
        <v>0</v>
      </c>
      <c r="M86" s="21"/>
      <c r="N86" s="21">
        <f>TVM!N86+KLM!N86+PTA!N86+ALP!N86+KTM!N86+IDK!N86+EKM!N86+TSR!N86+PLKD!N86+MLPM!N86+KKD!N86+WYND!N86+KNR!N86+KSRGD!N86+SHS!N86</f>
        <v>0</v>
      </c>
      <c r="O86" s="66">
        <f>TVM!O86+KLM!O86+PTA!O86+ALP!O86+KTM!O86+IDK!O86+EKM!O86+TSR!O86+PLKD!O86+MLPM!O86+KKD!O86+WYND!O86+KNR!O86+KSRGD!O86+SHS!O86</f>
        <v>9.66</v>
      </c>
      <c r="P86" s="66">
        <f>TVM!P86+KLM!P86+PTA!P86+ALP!P86+KTM!P86+IDK!P86+EKM!P86+TSR!P86+PLKD!P86+MLPM!P86+KKD!P86+WYND!P86+KNR!P86+KSRGD!P86+SHS!P86</f>
        <v>9.66</v>
      </c>
      <c r="Q86" s="21" t="s">
        <v>512</v>
      </c>
      <c r="R86" s="22">
        <f>TVM!R86+KLM!R86+PTA!R86+ALP!R86+KTM!R86+IDK!R86+EKM!R86+TSR!R86+PLKD!R86+MLPM!R86+KKD!R86+WYND!R86+KNR!R86+KSRGD!R86+SHS!R86</f>
        <v>0</v>
      </c>
      <c r="S86" s="21"/>
      <c r="T86" s="48">
        <f>TVM!T86+KLM!T86+PTA!T86+ALP!T86+KTM!T86+IDK!T86+EKM!T86+TSR!T86+PLKD!T86+MLPM!T86+KKD!T86+WYND!T86+KNR!T86+KSRGD!T86+SHS!T86</f>
        <v>0</v>
      </c>
      <c r="U86" s="70"/>
      <c r="V86" s="21">
        <f>TVM!V86+KLM!V86+PTA!V86+ALP!V86+KTM!V86+IDK!V86+EKM!V86+TSR!V86+PLKD!V86+MLPM!V86+KKD!V86+WYND!V86+KNR!V86+KSRGD!V86+SHS!V86</f>
        <v>0</v>
      </c>
      <c r="W86" s="21"/>
      <c r="X86" s="22">
        <f t="shared" si="2"/>
        <v>9.66</v>
      </c>
      <c r="Y86" s="46"/>
    </row>
    <row r="87" spans="1:26" ht="62.25" customHeight="1">
      <c r="A87" s="498"/>
      <c r="B87" s="498"/>
      <c r="C87" s="498"/>
      <c r="D87" s="43">
        <v>81</v>
      </c>
      <c r="E87" s="43" t="s">
        <v>132</v>
      </c>
      <c r="F87" s="21">
        <f>TVM!F87+KLM!F87+PTA!F87+ALP!F87+KTM!F87+IDK!F87+EKM!F87+TSR!F87+PLKD!F87+MLPM!F87+KKD!F87+WYND!F87+KNR!F87+KSRGD!F87+SHS!F87</f>
        <v>0</v>
      </c>
      <c r="G87" s="21"/>
      <c r="H87" s="21">
        <f>TVM!H87+KLM!H87+PTA!H87+ALP!H87+KTM!H87+IDK!H87+EKM!H87+TSR!H87+PLKD!H87+MLPM!H87+KKD!H87+WYND!H87+KNR!H87+KSRGD!H87+SHS!H87</f>
        <v>0</v>
      </c>
      <c r="I87" s="21">
        <f>TVM!I87+KLM!I87+PTA!I87+ALP!I87+KTM!I87+IDK!I87+EKM!I87+TSR!I87+PLKD!I87+MLPM!I87+KKD!I87+WYND!I87+KNR!I87+KSRGD!I87+SHS!I87</f>
        <v>0</v>
      </c>
      <c r="J87" s="21">
        <f>TVM!J87+KLM!J87+PTA!J87+ALP!J87+KTM!J87+IDK!J87+EKM!J87+TSR!J87+PLKD!J87+MLPM!J87+KKD!J87+WYND!J87+KNR!J87+KSRGD!J87+SHS!J87</f>
        <v>0</v>
      </c>
      <c r="K87" s="21"/>
      <c r="L87" s="21">
        <f>TVM!L87+KLM!L87+PTA!L87+ALP!L87+KTM!L87+IDK!L87+EKM!L87+TSR!L87+PLKD!L87+MLPM!L87+KKD!L87+WYND!L87+KNR!L87+KSRGD!L87+SHS!L87</f>
        <v>0</v>
      </c>
      <c r="M87" s="21"/>
      <c r="N87" s="21">
        <f>TVM!N87+KLM!N87+PTA!N87+ALP!N87+KTM!N87+IDK!N87+EKM!N87+TSR!N87+PLKD!N87+MLPM!N87+KKD!N87+WYND!N87+KNR!N87+KSRGD!N87+SHS!N87</f>
        <v>0</v>
      </c>
      <c r="O87" s="21">
        <f>TVM!O87+KLM!O87+PTA!O87+ALP!O87+KTM!O87+IDK!O87+EKM!O87+TSR!O87+PLKD!O87+MLPM!O87+KKD!O87+WYND!O87+KNR!O87+KSRGD!O87+SHS!O87</f>
        <v>82.08</v>
      </c>
      <c r="P87" s="21">
        <f>TVM!P87+KLM!P87+PTA!P87+ALP!P87+KTM!P87+IDK!P87+EKM!P87+TSR!P87+PLKD!P87+MLPM!P87+KKD!P87+WYND!P87+KNR!P87+KSRGD!P87+SHS!P87</f>
        <v>82.08</v>
      </c>
      <c r="Q87" s="21"/>
      <c r="R87" s="22">
        <f>TVM!R87+KLM!R87+PTA!R87+ALP!R87+KTM!R87+IDK!R87+EKM!R87+TSR!R87+PLKD!R87+MLPM!R87+KKD!R87+WYND!R87+KNR!R87+KSRGD!R87+SHS!R87</f>
        <v>198.39</v>
      </c>
      <c r="S87" s="21"/>
      <c r="T87" s="48">
        <f>TVM!T87+KLM!T87+PTA!T87+ALP!T87+KTM!T87+IDK!T87+EKM!T87+TSR!T87+PLKD!T87+MLPM!T87+KKD!T87+WYND!T87+KNR!T87+KSRGD!T87+SHS!T87</f>
        <v>0</v>
      </c>
      <c r="U87" s="71" t="s">
        <v>513</v>
      </c>
      <c r="V87" s="21">
        <f>TVM!V87+KLM!V87+PTA!V87+ALP!V87+KTM!V87+IDK!V87+EKM!V87+TSR!V87+PLKD!V87+MLPM!V87+KKD!V87+WYND!V87+KNR!V87+KSRGD!V87+SHS!V87</f>
        <v>0</v>
      </c>
      <c r="W87" s="21"/>
      <c r="X87" s="22">
        <f t="shared" si="2"/>
        <v>280.46999999999997</v>
      </c>
      <c r="Y87" s="46"/>
    </row>
    <row r="88" spans="1:26" ht="47.25">
      <c r="A88" s="498"/>
      <c r="B88" s="498"/>
      <c r="C88" s="498"/>
      <c r="D88" s="43">
        <v>82</v>
      </c>
      <c r="E88" s="43" t="s">
        <v>133</v>
      </c>
      <c r="F88" s="21">
        <f>TVM!F88+KLM!F88+PTA!F88+ALP!F88+KTM!F88+IDK!F88+EKM!F88+TSR!F88+PLKD!F88+MLPM!F88+KKD!F88+WYND!F88+KNR!F88+KSRGD!F88+SHS!F88</f>
        <v>0</v>
      </c>
      <c r="G88" s="21"/>
      <c r="H88" s="21">
        <f>TVM!H88+KLM!H88+PTA!H88+ALP!H88+KTM!H88+IDK!H88+EKM!H88+TSR!H88+PLKD!H88+MLPM!H88+KKD!H88+WYND!H88+KNR!H88+KSRGD!H88+SHS!H88</f>
        <v>0</v>
      </c>
      <c r="I88" s="21">
        <f>TVM!I88+KLM!I88+PTA!I88+ALP!I88+KTM!I88+IDK!I88+EKM!I88+TSR!I88+PLKD!I88+MLPM!I88+KKD!I88+WYND!I88+KNR!I88+KSRGD!I88+SHS!I88</f>
        <v>0</v>
      </c>
      <c r="J88" s="21">
        <f>TVM!J88+KLM!J88+PTA!J88+ALP!J88+KTM!J88+IDK!J88+EKM!J88+TSR!J88+PLKD!J88+MLPM!J88+KKD!J88+WYND!J88+KNR!J88+KSRGD!J88+SHS!J88</f>
        <v>0</v>
      </c>
      <c r="K88" s="21"/>
      <c r="L88" s="21">
        <f>TVM!L88+KLM!L88+PTA!L88+ALP!L88+KTM!L88+IDK!L88+EKM!L88+TSR!L88+PLKD!L88+MLPM!L88+KKD!L88+WYND!L88+KNR!L88+KSRGD!L88+SHS!L88</f>
        <v>0</v>
      </c>
      <c r="M88" s="21"/>
      <c r="N88" s="21">
        <f>TVM!N88+KLM!N88+PTA!N88+ALP!N88+KTM!N88+IDK!N88+EKM!N88+TSR!N88+PLKD!N88+MLPM!N88+KKD!N88+WYND!N88+KNR!N88+KSRGD!N88+SHS!N88</f>
        <v>0</v>
      </c>
      <c r="O88" s="21">
        <f>TVM!O88+KLM!O88+PTA!O88+ALP!O88+KTM!O88+IDK!O88+EKM!O88+TSR!O88+PLKD!O88+MLPM!O88+KKD!O88+WYND!O88+KNR!O88+KSRGD!O88+SHS!O88</f>
        <v>0</v>
      </c>
      <c r="P88" s="21">
        <f>TVM!P88+KLM!P88+PTA!P88+ALP!P88+KTM!P88+IDK!P88+EKM!P88+TSR!P88+PLKD!P88+MLPM!P88+KKD!P88+WYND!P88+KNR!P88+KSRGD!P88+SHS!P88</f>
        <v>0</v>
      </c>
      <c r="Q88" s="21"/>
      <c r="R88" s="21">
        <f>TVM!R88+KLM!R88+PTA!R88+ALP!R88+KTM!R88+IDK!R88+EKM!R88+TSR!R88+PLKD!R88+MLPM!R88+KKD!R88+WYND!R88+KNR!R88+KSRGD!R88+SHS!R88</f>
        <v>0</v>
      </c>
      <c r="S88" s="21"/>
      <c r="T88" s="48">
        <f>TVM!T88+KLM!T88+PTA!T88+ALP!T88+KTM!T88+IDK!T88+EKM!T88+TSR!T88+PLKD!T88+MLPM!T88+KKD!T88+WYND!T88+KNR!T88+KSRGD!T88+SHS!T88</f>
        <v>1.5000000000000004</v>
      </c>
      <c r="U88" s="73"/>
      <c r="V88" s="21">
        <f>TVM!V88+KLM!V88+PTA!V88+ALP!V88+KTM!V88+IDK!V88+EKM!V88+TSR!V88+PLKD!V88+MLPM!V88+KKD!V88+WYND!V88+KNR!V88+KSRGD!V88+SHS!V88</f>
        <v>0</v>
      </c>
      <c r="W88" s="21"/>
      <c r="X88" s="22">
        <f t="shared" si="2"/>
        <v>1.5000000000000004</v>
      </c>
      <c r="Y88" s="46"/>
    </row>
    <row r="89" spans="1:26" ht="116.25" customHeight="1">
      <c r="A89" s="498"/>
      <c r="B89" s="496"/>
      <c r="C89" s="496"/>
      <c r="D89" s="43">
        <v>83</v>
      </c>
      <c r="E89" s="43" t="s">
        <v>134</v>
      </c>
      <c r="F89" s="21">
        <f>TVM!F89+KLM!F89+PTA!F89+ALP!F89+KTM!F89+IDK!F89+EKM!F89+TSR!F89+PLKD!F89+MLPM!F89+KKD!F89+WYND!F89+KNR!F89+KSRGD!F89+SHS!F89</f>
        <v>0</v>
      </c>
      <c r="G89" s="21"/>
      <c r="H89" s="21">
        <f>TVM!H89+KLM!H89+PTA!H89+ALP!H89+KTM!H89+IDK!H89+EKM!H89+TSR!H89+PLKD!H89+MLPM!H89+KKD!H89+WYND!H89+KNR!H89+KSRGD!H89+SHS!H89</f>
        <v>0</v>
      </c>
      <c r="I89" s="21">
        <f>TVM!I89+KLM!I89+PTA!I89+ALP!I89+KTM!I89+IDK!I89+EKM!I89+TSR!I89+PLKD!I89+MLPM!I89+KKD!I89+WYND!I89+KNR!I89+KSRGD!I89+SHS!I89</f>
        <v>0</v>
      </c>
      <c r="J89" s="21">
        <f>TVM!J89+KLM!J89+PTA!J89+ALP!J89+KTM!J89+IDK!J89+EKM!J89+TSR!J89+PLKD!J89+MLPM!J89+KKD!J89+WYND!J89+KNR!J89+KSRGD!J89+SHS!J89</f>
        <v>0</v>
      </c>
      <c r="K89" s="21"/>
      <c r="L89" s="21">
        <f>TVM!L89+KLM!L89+PTA!L89+ALP!L89+KTM!L89+IDK!L89+EKM!L89+TSR!L89+PLKD!L89+MLPM!L89+KKD!L89+WYND!L89+KNR!L89+KSRGD!L89+SHS!L89</f>
        <v>0</v>
      </c>
      <c r="M89" s="21"/>
      <c r="N89" s="21">
        <f>TVM!N89+KLM!N89+PTA!N89+ALP!N89+KTM!N89+IDK!N89+EKM!N89+TSR!N89+PLKD!N89+MLPM!N89+KKD!N89+WYND!N89+KNR!N89+KSRGD!N89+SHS!N89</f>
        <v>0</v>
      </c>
      <c r="O89" s="22">
        <f>TVM!O89+KLM!O89+PTA!O89+ALP!O89+KTM!O89+IDK!O89+EKM!O89+TSR!O89+PLKD!O89+MLPM!O89+KKD!O89+WYND!O89+KNR!O89+KSRGD!O89+SHS!O89</f>
        <v>12.129999999999999</v>
      </c>
      <c r="P89" s="22">
        <f>TVM!P89+KLM!P89+PTA!P89+ALP!P89+KTM!P89+IDK!P89+EKM!P89+TSR!P89+PLKD!P89+MLPM!P89+KKD!P89+WYND!P89+KNR!P89+KSRGD!P89+SHS!P89</f>
        <v>12.129999999999999</v>
      </c>
      <c r="Q89" s="47" t="s">
        <v>514</v>
      </c>
      <c r="R89" s="48">
        <f>TVM!R89+KLM!R89+PTA!R89+ALP!R89+KTM!R89+IDK!R89+EKM!R89+TSR!R89+PLKD!R89+MLPM!R89+KKD!R89+WYND!R89+KNR!R89+KSRGD!R89+SHS!R89</f>
        <v>0</v>
      </c>
      <c r="S89" s="21"/>
      <c r="T89" s="48">
        <f>TVM!T89+KLM!T89+PTA!T89+ALP!T89+KTM!T89+IDK!T89+EKM!T89+TSR!T89+PLKD!T89+MLPM!T89+KKD!T89+WYND!T89+KNR!T89+KSRGD!T89+SHS!T89</f>
        <v>0</v>
      </c>
      <c r="U89" s="47" t="s">
        <v>515</v>
      </c>
      <c r="V89" s="21">
        <f>TVM!V89+KLM!V89+PTA!V89+ALP!V89+KTM!V89+IDK!V89+EKM!V89+TSR!V89+PLKD!V89+MLPM!V89+KKD!V89+WYND!V89+KNR!V89+KSRGD!V89+SHS!V89</f>
        <v>0</v>
      </c>
      <c r="W89" s="21"/>
      <c r="X89" s="22">
        <f t="shared" si="2"/>
        <v>12.129999999999999</v>
      </c>
      <c r="Y89" s="46"/>
    </row>
    <row r="90" spans="1:26" ht="173.25">
      <c r="A90" s="498"/>
      <c r="B90" s="43" t="s">
        <v>135</v>
      </c>
      <c r="C90" s="43" t="s">
        <v>136</v>
      </c>
      <c r="D90" s="43">
        <v>84</v>
      </c>
      <c r="E90" s="43" t="s">
        <v>137</v>
      </c>
      <c r="F90" s="21">
        <f>TVM!F90+KLM!F90+PTA!F90+ALP!F90+KTM!F90+IDK!F90+EKM!F90+TSR!F90+PLKD!F90+MLPM!F90+KKD!F90+WYND!F90+KNR!F90+KSRGD!F90+SHS!F90</f>
        <v>0</v>
      </c>
      <c r="G90" s="21"/>
      <c r="H90" s="21">
        <f>TVM!H90+KLM!H90+PTA!H90+ALP!H90+KTM!H90+IDK!H90+EKM!H90+TSR!H90+PLKD!H90+MLPM!H90+KKD!H90+WYND!H90+KNR!H90+KSRGD!H90+SHS!H90</f>
        <v>0</v>
      </c>
      <c r="I90" s="21">
        <f>TVM!I90+KLM!I90+PTA!I90+ALP!I90+KTM!I90+IDK!I90+EKM!I90+TSR!I90+PLKD!I90+MLPM!I90+KKD!I90+WYND!I90+KNR!I90+KSRGD!I90+SHS!I90</f>
        <v>0</v>
      </c>
      <c r="J90" s="21">
        <f>TVM!J90+KLM!J90+PTA!J90+ALP!J90+KTM!J90+IDK!J90+EKM!J90+TSR!J90+PLKD!J90+MLPM!J90+KKD!J90+WYND!J90+KNR!J90+KSRGD!J90+SHS!J90</f>
        <v>0</v>
      </c>
      <c r="K90" s="21"/>
      <c r="L90" s="22">
        <f>TVM!L90+KLM!L90+PTA!L90+ALP!L90+KTM!L90+IDK!L90+EKM!L90+TSR!L90+PLKD!L90+MLPM!L90+KKD!L90+WYND!L90+KNR!L90+KSRGD!L90+SHS!L90</f>
        <v>0</v>
      </c>
      <c r="M90" s="21"/>
      <c r="N90" s="21">
        <f>TVM!N90+KLM!N90+PTA!N90+ALP!N90+KTM!N90+IDK!N90+EKM!N90+TSR!N90+PLKD!N90+MLPM!N90+KKD!N90+WYND!N90+KNR!N90+KSRGD!N90+SHS!N90</f>
        <v>0</v>
      </c>
      <c r="O90" s="22">
        <f>TVM!O90+KLM!O90+PTA!O90+ALP!O90+KTM!O90+IDK!O90+EKM!O90+TSR!O90+PLKD!O90+MLPM!O90+KKD!O90+WYND!O90+KNR!O90+KSRGD!O90+SHS!O90</f>
        <v>0</v>
      </c>
      <c r="P90" s="22">
        <f>TVM!P90+KLM!P90+PTA!P90+ALP!P90+KTM!P90+IDK!P90+EKM!P90+TSR!P90+PLKD!P90+MLPM!P90+KKD!P90+WYND!P90+KNR!P90+KSRGD!P90+SHS!P90</f>
        <v>0</v>
      </c>
      <c r="Q90" s="21"/>
      <c r="R90" s="21">
        <f>TVM!R90+KLM!R90+PTA!R90+ALP!R90+KTM!R90+IDK!R90+EKM!R90+TSR!R90+PLKD!R90+MLPM!R90+KKD!R90+WYND!R90+KNR!R90+KSRGD!R90+SHS!R90</f>
        <v>0</v>
      </c>
      <c r="S90" s="21"/>
      <c r="T90" s="21">
        <f>TVM!T90+KLM!T90+PTA!T90+ALP!T90+KTM!T90+IDK!T90+EKM!T90+TSR!T90+PLKD!T90+MLPM!T90+KKD!T90+WYND!T90+KNR!T90+KSRGD!T90+SHS!T90</f>
        <v>0</v>
      </c>
      <c r="U90" s="21"/>
      <c r="V90" s="21">
        <f>TVM!V90+KLM!V90+PTA!V90+ALP!V90+KTM!V90+IDK!V90+EKM!V90+TSR!V90+PLKD!V90+MLPM!V90+KKD!V90+WYND!V90+KNR!V90+KSRGD!V90+SHS!V90</f>
        <v>0</v>
      </c>
      <c r="W90" s="21"/>
      <c r="X90" s="22">
        <f t="shared" si="2"/>
        <v>0</v>
      </c>
      <c r="Y90" s="46"/>
    </row>
    <row r="91" spans="1:26" ht="220.5">
      <c r="A91" s="498"/>
      <c r="B91" s="43" t="s">
        <v>138</v>
      </c>
      <c r="C91" s="43" t="s">
        <v>139</v>
      </c>
      <c r="D91" s="43">
        <v>85</v>
      </c>
      <c r="E91" s="43" t="s">
        <v>140</v>
      </c>
      <c r="F91" s="21">
        <f>TVM!F91+KLM!F91+PTA!F91+ALP!F91+KTM!F91+IDK!F91+EKM!F91+TSR!F91+PLKD!F91+MLPM!F91+KKD!F91+WYND!F91+KNR!F91+KSRGD!F91+SHS!F91</f>
        <v>0</v>
      </c>
      <c r="G91" s="21"/>
      <c r="H91" s="21">
        <f>TVM!H91+KLM!H91+PTA!H91+ALP!H91+KTM!H91+IDK!H91+EKM!H91+TSR!H91+PLKD!H91+MLPM!H91+KKD!H91+WYND!H91+KNR!H91+KSRGD!H91+SHS!H91</f>
        <v>0</v>
      </c>
      <c r="I91" s="21">
        <f>TVM!I91+KLM!I91+PTA!I91+ALP!I91+KTM!I91+IDK!I91+EKM!I91+TSR!I91+PLKD!I91+MLPM!I91+KKD!I91+WYND!I91+KNR!I91+KSRGD!I91+SHS!I91</f>
        <v>0</v>
      </c>
      <c r="J91" s="21">
        <f>TVM!J91+KLM!J91+PTA!J91+ALP!J91+KTM!J91+IDK!J91+EKM!J91+TSR!J91+PLKD!J91+MLPM!J91+KKD!J91+WYND!J91+KNR!J91+KSRGD!J91+SHS!J91</f>
        <v>0</v>
      </c>
      <c r="K91" s="21"/>
      <c r="L91" s="21">
        <f>TVM!L91+KLM!L91+PTA!L91+ALP!L91+KTM!L91+IDK!L91+EKM!L91+TSR!L91+PLKD!L91+MLPM!L91+KKD!L91+WYND!L91+KNR!L91+KSRGD!L91+SHS!L91</f>
        <v>0</v>
      </c>
      <c r="M91" s="21"/>
      <c r="N91" s="21">
        <f>TVM!N91+KLM!N91+PTA!N91+ALP!N91+KTM!N91+IDK!N91+EKM!N91+TSR!N91+PLKD!N91+MLPM!N91+KKD!N91+WYND!N91+KNR!N91+KSRGD!N91+SHS!N91</f>
        <v>0</v>
      </c>
      <c r="O91" s="22">
        <f>TVM!O91+KLM!O91+PTA!O91+ALP!O91+KTM!O91+IDK!O91+EKM!O91+TSR!O91+PLKD!O91+MLPM!O91+KKD!O91+WYND!O91+KNR!O91+KSRGD!O91+SHS!O91</f>
        <v>0</v>
      </c>
      <c r="P91" s="22">
        <f>TVM!P91+KLM!P91+PTA!P91+ALP!P91+KTM!P91+IDK!P91+EKM!P91+TSR!P91+PLKD!P91+MLPM!P91+KKD!P91+WYND!P91+KNR!P91+KSRGD!P91+SHS!P91</f>
        <v>0</v>
      </c>
      <c r="Q91" s="21"/>
      <c r="R91" s="21">
        <f>TVM!R91+KLM!R91+PTA!R91+ALP!R91+KTM!R91+IDK!R91+EKM!R91+TSR!R91+PLKD!R91+MLPM!R91+KKD!R91+WYND!R91+KNR!R91+KSRGD!R91+SHS!R91</f>
        <v>19.98</v>
      </c>
      <c r="S91" s="23" t="s">
        <v>516</v>
      </c>
      <c r="T91" s="21">
        <f>TVM!T91+KLM!T91+PTA!T91+ALP!T91+KTM!T91+IDK!T91+EKM!T91+TSR!T91+PLKD!T91+MLPM!T91+KKD!T91+WYND!T91+KNR!T91+KSRGD!T91+SHS!T91</f>
        <v>0</v>
      </c>
      <c r="U91" s="21"/>
      <c r="V91" s="21">
        <f>TVM!V91+KLM!V91+PTA!V91+ALP!V91+KTM!V91+IDK!V91+EKM!V91+TSR!V91+PLKD!V91+MLPM!V91+KKD!V91+WYND!V91+KNR!V91+KSRGD!V91+SHS!V91</f>
        <v>3.6</v>
      </c>
      <c r="W91" s="21"/>
      <c r="X91" s="22">
        <f t="shared" si="2"/>
        <v>23.580000000000002</v>
      </c>
      <c r="Y91" s="46"/>
    </row>
    <row r="92" spans="1:26" ht="157.5" hidden="1">
      <c r="A92" s="498"/>
      <c r="B92" s="43" t="s">
        <v>141</v>
      </c>
      <c r="C92" s="43" t="s">
        <v>44</v>
      </c>
      <c r="D92" s="43">
        <v>86</v>
      </c>
      <c r="E92" s="43" t="s">
        <v>142</v>
      </c>
      <c r="F92" s="21">
        <f>TVM!F92+KLM!F92+PTA!F92+ALP!F92+KTM!F92+IDK!F92+EKM!F92+TSR!F92+PLKD!F92+MLPM!F92+KKD!F92+WYND!F92+KNR!F92+KSRGD!F92+SHS!F92</f>
        <v>0</v>
      </c>
      <c r="G92" s="21">
        <f>TVM!G92+KLM!G92+PTA!G92+ALP!G92+KTM!G92+IDK!G92+EKM!G92+TSR!G92+PLKD!G92+MLPM!G92+KKD!G92+WYND!G92+KNR!G92+KSRGD!G92+SHS!G92</f>
        <v>0</v>
      </c>
      <c r="H92" s="21">
        <f>TVM!H92+KLM!H92+PTA!H92+ALP!H92+KTM!H92+IDK!H92+EKM!H92+TSR!H92+PLKD!H92+MLPM!H92+KKD!H92+WYND!H92+KNR!H92+KSRGD!H92+SHS!H92</f>
        <v>0</v>
      </c>
      <c r="I92" s="21">
        <f>TVM!I92+KLM!I92+PTA!I92+ALP!I92+KTM!I92+IDK!I92+EKM!I92+TSR!I92+PLKD!I92+MLPM!I92+KKD!I92+WYND!I92+KNR!I92+KSRGD!I92+SHS!I92</f>
        <v>0</v>
      </c>
      <c r="J92" s="21">
        <f>TVM!J92+KLM!J92+PTA!J92+ALP!J92+KTM!J92+IDK!J92+EKM!J92+TSR!J92+PLKD!J92+MLPM!J92+KKD!J92+WYND!J92+KNR!J92+KSRGD!J92+SHS!J92</f>
        <v>0</v>
      </c>
      <c r="K92" s="21">
        <f>TVM!K92+KLM!K92+PTA!K92+ALP!K92+KTM!K92+IDK!K92+EKM!K92+TSR!K92+PLKD!K92+MLPM!K92+KKD!K92+WYND!K92+KNR!K92+KSRGD!K92+SHS!K92</f>
        <v>0</v>
      </c>
      <c r="L92" s="21">
        <f>TVM!L92+KLM!L92+PTA!L92+ALP!L92+KTM!L92+IDK!L92+EKM!L92+TSR!L92+PLKD!L92+MLPM!L92+KKD!L92+WYND!L92+KNR!L92+KSRGD!L92+SHS!L92</f>
        <v>0</v>
      </c>
      <c r="M92" s="21">
        <f>TVM!M92+KLM!M92+PTA!M92+ALP!M92+KTM!M92+IDK!M92+EKM!M92+TSR!M92+PLKD!M92+MLPM!M92+KKD!M92+WYND!M92+KNR!M92+KSRGD!M92+SHS!M92</f>
        <v>0</v>
      </c>
      <c r="N92" s="21">
        <f>TVM!N92+KLM!N92+PTA!N92+ALP!N92+KTM!N92+IDK!N92+EKM!N92+TSR!N92+PLKD!N92+MLPM!N92+KKD!N92+WYND!N92+KNR!N92+KSRGD!N92+SHS!N92</f>
        <v>0</v>
      </c>
      <c r="O92" s="21">
        <f>TVM!O92+KLM!O92+PTA!O92+ALP!O92+KTM!O92+IDK!O92+EKM!O92+TSR!O92+PLKD!O92+MLPM!O92+KKD!O92+WYND!O92+KNR!O92+KSRGD!O92+SHS!O92</f>
        <v>0</v>
      </c>
      <c r="P92" s="21">
        <f>TVM!P92+KLM!P92+PTA!P92+ALP!P92+KTM!P92+IDK!P92+EKM!P92+TSR!P92+PLKD!P92+MLPM!P92+KKD!P92+WYND!P92+KNR!P92+KSRGD!P92+SHS!P92</f>
        <v>0</v>
      </c>
      <c r="Q92" s="21">
        <f>TVM!Q92+KLM!Q92+PTA!Q92+ALP!Q92+KTM!Q92+IDK!Q92+EKM!Q92+TSR!Q92+PLKD!Q92+MLPM!Q92+KKD!Q92+WYND!Q92+KNR!Q92+KSRGD!Q92+SHS!Q92</f>
        <v>0</v>
      </c>
      <c r="R92" s="21">
        <f>TVM!R92+KLM!R92+PTA!R92+ALP!R92+KTM!R92+IDK!R92+EKM!R92+TSR!R92+PLKD!R92+MLPM!R92+KKD!R92+WYND!R92+KNR!R92+KSRGD!R92+SHS!R92</f>
        <v>0</v>
      </c>
      <c r="S92" s="21">
        <f>TVM!S92+KLM!S92+PTA!S92+ALP!S92+KTM!S92+IDK!S92+EKM!S92+TSR!S92+PLKD!S92+MLPM!S92+KKD!S92+WYND!S92+KNR!S92+KSRGD!S92+SHS!S92</f>
        <v>0</v>
      </c>
      <c r="T92" s="21">
        <f>TVM!T92+KLM!T92+PTA!T92+ALP!T92+KTM!T92+IDK!T92+EKM!T92+TSR!T92+PLKD!T92+MLPM!T92+KKD!T92+WYND!T92+KNR!T92+KSRGD!T92+SHS!T92</f>
        <v>0</v>
      </c>
      <c r="U92" s="21">
        <f>TVM!U92+KLM!U92+PTA!U92+ALP!U92+KTM!U92+IDK!U92+EKM!U92+TSR!U92+PLKD!U92+MLPM!U92+KKD!U92+WYND!U92+KNR!U92+KSRGD!U92+SHS!U92</f>
        <v>0</v>
      </c>
      <c r="V92" s="21">
        <f>TVM!V92+KLM!V92+PTA!V92+ALP!V92+KTM!V92+IDK!V92+EKM!V92+TSR!V92+PLKD!V92+MLPM!V92+KKD!V92+WYND!V92+KNR!V92+KSRGD!V92+SHS!V92</f>
        <v>0</v>
      </c>
      <c r="W92" s="22">
        <f>TVM!W92+KLM!W92+PTA!W92+ALP!W92+KTM!W92+IDK!W92+EKM!W92+TSR!W92+PLKD!W92+MLPM!W92+KKD!W92+WYND!W92+KNR!W92+KSRGD!W92+SHS!W92</f>
        <v>0</v>
      </c>
      <c r="X92" s="22">
        <f t="shared" si="2"/>
        <v>0</v>
      </c>
      <c r="Y92" s="46"/>
    </row>
    <row r="93" spans="1:26" ht="27.75" customHeight="1">
      <c r="A93" s="496"/>
      <c r="B93" s="501" t="s">
        <v>143</v>
      </c>
      <c r="C93" s="489"/>
      <c r="D93" s="490"/>
      <c r="E93" s="43"/>
      <c r="F93" s="74">
        <f t="shared" ref="F93:X93" si="3">SUM(F69:F91)</f>
        <v>1073.9000000000001</v>
      </c>
      <c r="G93" s="74">
        <f t="shared" si="3"/>
        <v>0</v>
      </c>
      <c r="H93" s="74">
        <f t="shared" si="3"/>
        <v>350</v>
      </c>
      <c r="I93" s="74">
        <f t="shared" si="3"/>
        <v>45</v>
      </c>
      <c r="J93" s="74">
        <f t="shared" si="3"/>
        <v>395</v>
      </c>
      <c r="K93" s="74">
        <f t="shared" si="3"/>
        <v>0</v>
      </c>
      <c r="L93" s="74">
        <f t="shared" si="3"/>
        <v>303.37</v>
      </c>
      <c r="M93" s="74">
        <f t="shared" si="3"/>
        <v>0</v>
      </c>
      <c r="N93" s="74">
        <f t="shared" si="3"/>
        <v>0</v>
      </c>
      <c r="O93" s="60">
        <f t="shared" si="3"/>
        <v>500.54999999999995</v>
      </c>
      <c r="P93" s="74">
        <f t="shared" si="3"/>
        <v>500.54999999999995</v>
      </c>
      <c r="Q93" s="74">
        <f t="shared" si="3"/>
        <v>0</v>
      </c>
      <c r="R93" s="75">
        <f t="shared" si="3"/>
        <v>2115.92</v>
      </c>
      <c r="S93" s="74">
        <f t="shared" si="3"/>
        <v>0</v>
      </c>
      <c r="T93" s="60">
        <f t="shared" si="3"/>
        <v>2025.0784000000003</v>
      </c>
      <c r="U93" s="74">
        <f t="shared" si="3"/>
        <v>0</v>
      </c>
      <c r="V93" s="75">
        <f t="shared" si="3"/>
        <v>121.75</v>
      </c>
      <c r="W93" s="74">
        <f t="shared" si="3"/>
        <v>0</v>
      </c>
      <c r="X93" s="60">
        <f t="shared" si="3"/>
        <v>6535.5684000000001</v>
      </c>
      <c r="Y93" s="222"/>
    </row>
    <row r="94" spans="1:26" ht="78.75">
      <c r="A94" s="499" t="s">
        <v>144</v>
      </c>
      <c r="B94" s="497" t="s">
        <v>145</v>
      </c>
      <c r="C94" s="497" t="s">
        <v>146</v>
      </c>
      <c r="D94" s="43">
        <v>87</v>
      </c>
      <c r="E94" s="43" t="s">
        <v>147</v>
      </c>
      <c r="F94" s="21">
        <f>TVM!F94+KLM!F94+PTA!F94+ALP!F94+KTM!F94+IDK!F94+EKM!F94+TSR!F94+PLKD!F94+MLPM!F94+KKD!F94+WYND!F94+KNR!F94+KSRGD!F94+SHS!F94</f>
        <v>0</v>
      </c>
      <c r="G94" s="21"/>
      <c r="H94" s="21">
        <f>TVM!H94+KLM!H94+PTA!H94+ALP!H94+KTM!H94+IDK!H94+EKM!H94+TSR!H94+PLKD!H94+MLPM!H94+KKD!H94+WYND!H94+KNR!H94+KSRGD!H94+SHS!H94</f>
        <v>0</v>
      </c>
      <c r="I94" s="21">
        <f>TVM!I94+KLM!I94+PTA!I94+ALP!I94+KTM!I94+IDK!I94+EKM!I94+TSR!I94+PLKD!I94+MLPM!I94+KKD!I94+WYND!I94+KNR!I94+KSRGD!I94+SHS!I94</f>
        <v>0</v>
      </c>
      <c r="J94" s="21">
        <f>TVM!J94+KLM!J94+PTA!J94+ALP!J94+KTM!J94+IDK!J94+EKM!J94+TSR!J94+PLKD!J94+MLPM!J94+KKD!J94+WYND!J94+KNR!J94+KSRGD!J94+SHS!J94</f>
        <v>0</v>
      </c>
      <c r="K94" s="21"/>
      <c r="L94" s="21">
        <f>TVM!L94+KLM!L94+PTA!L94+ALP!L94+KTM!L94+IDK!L94+EKM!L94+TSR!L94+PLKD!L94+MLPM!L94+KKD!L94+WYND!L94+KNR!L94+KSRGD!L94+SHS!L94</f>
        <v>0</v>
      </c>
      <c r="M94" s="21"/>
      <c r="N94" s="21">
        <f>TVM!N94+KLM!N94+PTA!N94+ALP!N94+KTM!N94+IDK!N94+EKM!N94+TSR!N94+PLKD!N94+MLPM!N94+KKD!N94+WYND!N94+KNR!N94+KSRGD!N94+SHS!N94</f>
        <v>0</v>
      </c>
      <c r="O94" s="22">
        <f>TVM!O94+KLM!O94+PTA!O94+ALP!O94+KTM!O94+IDK!O94+EKM!O94+TSR!O94+PLKD!O94+MLPM!O94+KKD!O94+WYND!O94+KNR!O94+KSRGD!O94+SHS!O94</f>
        <v>275</v>
      </c>
      <c r="P94" s="22">
        <f>TVM!P94+KLM!P94+PTA!P94+ALP!P94+KTM!P94+IDK!P94+EKM!P94+TSR!P94+PLKD!P94+MLPM!P94+KKD!P94+WYND!P94+KNR!P94+KSRGD!P94+SHS!P94</f>
        <v>275</v>
      </c>
      <c r="Q94" s="21"/>
      <c r="R94" s="21">
        <f>TVM!R94+KLM!R94+PTA!R94+ALP!R94+KTM!R94+IDK!R94+EKM!R94+TSR!R94+PLKD!R94+MLPM!R94+KKD!R94+WYND!R94+KNR!R94+KSRGD!R94+SHS!R94</f>
        <v>0</v>
      </c>
      <c r="S94" s="21"/>
      <c r="T94" s="21">
        <f>TVM!T94+KLM!T94+PTA!T94+ALP!T94+KTM!T94+IDK!T94+EKM!T94+TSR!T94+PLKD!T94+MLPM!T94+KKD!T94+WYND!T94+KNR!T94+KSRGD!T94+SHS!T94</f>
        <v>0</v>
      </c>
      <c r="U94" s="21"/>
      <c r="V94" s="21">
        <f>TVM!V94+KLM!V94+PTA!V94+ALP!V94+KTM!V94+IDK!V94+EKM!V94+TSR!V94+PLKD!V94+MLPM!V94+KKD!V94+WYND!V94+KNR!V94+KSRGD!V94+SHS!V94</f>
        <v>0</v>
      </c>
      <c r="W94" s="21"/>
      <c r="X94" s="22">
        <f t="shared" ref="X94:X133" si="4">F94+J94+L94+P94+R94+T94+V94</f>
        <v>275</v>
      </c>
      <c r="Y94" s="214" t="s">
        <v>517</v>
      </c>
    </row>
    <row r="95" spans="1:26" ht="52.5" customHeight="1">
      <c r="A95" s="498"/>
      <c r="B95" s="498"/>
      <c r="C95" s="498"/>
      <c r="D95" s="43">
        <v>88</v>
      </c>
      <c r="E95" s="43" t="s">
        <v>148</v>
      </c>
      <c r="F95" s="21">
        <f>TVM!F95+KLM!F95+PTA!F95+ALP!F95+KTM!F95+IDK!F95+EKM!F95+TSR!F95+PLKD!F95+MLPM!F95+KKD!F95+WYND!F95+KNR!F95+KSRGD!F95+SHS!F95</f>
        <v>0</v>
      </c>
      <c r="G95" s="21"/>
      <c r="H95" s="21">
        <f>TVM!H95+KLM!H95+PTA!H95+ALP!H95+KTM!H95+IDK!H95+EKM!H95+TSR!H95+PLKD!H95+MLPM!H95+KKD!H95+WYND!H95+KNR!H95+KSRGD!H95+SHS!H95</f>
        <v>0</v>
      </c>
      <c r="I95" s="21">
        <f>TVM!I95+KLM!I95+PTA!I95+ALP!I95+KTM!I95+IDK!I95+EKM!I95+TSR!I95+PLKD!I95+MLPM!I95+KKD!I95+WYND!I95+KNR!I95+KSRGD!I95+SHS!I95</f>
        <v>0</v>
      </c>
      <c r="J95" s="21">
        <f>TVM!J95+KLM!J95+PTA!J95+ALP!J95+KTM!J95+IDK!J95+EKM!J95+TSR!J95+PLKD!J95+MLPM!J95+KKD!J95+WYND!J95+KNR!J95+KSRGD!J95+SHS!J95</f>
        <v>0</v>
      </c>
      <c r="K95" s="21"/>
      <c r="L95" s="21">
        <f>TVM!L95+KLM!L95+PTA!L95+ALP!L95+KTM!L95+IDK!L95+EKM!L95+TSR!L95+PLKD!L95+MLPM!L95+KKD!L95+WYND!L95+KNR!L95+KSRGD!L95+SHS!L95</f>
        <v>0</v>
      </c>
      <c r="M95" s="21"/>
      <c r="N95" s="21">
        <f>TVM!N95+KLM!N95+PTA!N95+ALP!N95+KTM!N95+IDK!N95+EKM!N95+TSR!N95+PLKD!N95+MLPM!N95+KKD!N95+WYND!N95+KNR!N95+KSRGD!N95+SHS!N95</f>
        <v>0</v>
      </c>
      <c r="O95" s="21">
        <f>TVM!O95+KLM!O95+PTA!O95+ALP!O95+KTM!O95+IDK!O95+EKM!O95+TSR!O95+PLKD!O95+MLPM!O95+KKD!O95+WYND!O95+KNR!O95+KSRGD!O95+SHS!O95</f>
        <v>0</v>
      </c>
      <c r="P95" s="21">
        <f>TVM!P95+KLM!P95+PTA!P95+ALP!P95+KTM!P95+IDK!P95+EKM!P95+TSR!P95+PLKD!P95+MLPM!P95+KKD!P95+WYND!P95+KNR!P95+KSRGD!P95+SHS!P95</f>
        <v>0</v>
      </c>
      <c r="Q95" s="21"/>
      <c r="R95" s="21">
        <f>TVM!R95+KLM!R95+PTA!R95+ALP!R95+KTM!R95+IDK!R95+EKM!R95+TSR!R95+PLKD!R95+MLPM!R95+KKD!R95+WYND!R95+KNR!R95+KSRGD!R95+SHS!R95</f>
        <v>0</v>
      </c>
      <c r="S95" s="21"/>
      <c r="T95" s="48">
        <f>TVM!T95+KLM!T95+PTA!T95+ALP!T95+KTM!T95+IDK!T95+EKM!T95+TSR!T95+PLKD!T95+MLPM!T95+KKD!T95+WYND!T95+KNR!T95+KSRGD!T95+SHS!T95</f>
        <v>170</v>
      </c>
      <c r="U95" s="21"/>
      <c r="V95" s="21">
        <f>TVM!V95+KLM!V95+PTA!V95+ALP!V95+KTM!V95+IDK!V95+EKM!V95+TSR!V95+PLKD!V95+MLPM!V95+KKD!V95+WYND!V95+KNR!V95+KSRGD!V95+SHS!V95</f>
        <v>0</v>
      </c>
      <c r="W95" s="21"/>
      <c r="X95" s="22">
        <f t="shared" si="4"/>
        <v>170</v>
      </c>
      <c r="Y95" s="214" t="s">
        <v>518</v>
      </c>
    </row>
    <row r="96" spans="1:26" ht="47.25">
      <c r="A96" s="498"/>
      <c r="B96" s="498"/>
      <c r="C96" s="498"/>
      <c r="D96" s="43">
        <v>89</v>
      </c>
      <c r="E96" s="43" t="s">
        <v>149</v>
      </c>
      <c r="F96" s="21">
        <f>TVM!F96+KLM!F96+PTA!F96+ALP!F96+KTM!F96+IDK!F96+EKM!F96+TSR!F96+PLKD!F96+MLPM!F96+KKD!F96+WYND!F96+KNR!F96+KSRGD!F96+SHS!F96</f>
        <v>0</v>
      </c>
      <c r="G96" s="21"/>
      <c r="H96" s="21">
        <f>TVM!H96+KLM!H96+PTA!H96+ALP!H96+KTM!H96+IDK!H96+EKM!H96+TSR!H96+PLKD!H96+MLPM!H96+KKD!H96+WYND!H96+KNR!H96+KSRGD!H96+SHS!H96</f>
        <v>0</v>
      </c>
      <c r="I96" s="21">
        <f>TVM!I96+KLM!I96+PTA!I96+ALP!I96+KTM!I96+IDK!I96+EKM!I96+TSR!I96+PLKD!I96+MLPM!I96+KKD!I96+WYND!I96+KNR!I96+KSRGD!I96+SHS!I96</f>
        <v>0</v>
      </c>
      <c r="J96" s="21">
        <f>TVM!J96+KLM!J96+PTA!J96+ALP!J96+KTM!J96+IDK!J96+EKM!J96+TSR!J96+PLKD!J96+MLPM!J96+KKD!J96+WYND!J96+KNR!J96+KSRGD!J96+SHS!J96</f>
        <v>0</v>
      </c>
      <c r="K96" s="21"/>
      <c r="L96" s="21">
        <f>TVM!L96+KLM!L96+PTA!L96+ALP!L96+KTM!L96+IDK!L96+EKM!L96+TSR!L96+PLKD!L96+MLPM!L96+KKD!L96+WYND!L96+KNR!L96+KSRGD!L96+SHS!L96</f>
        <v>0</v>
      </c>
      <c r="M96" s="21"/>
      <c r="N96" s="21">
        <f>TVM!N96+KLM!N96+PTA!N96+ALP!N96+KTM!N96+IDK!N96+EKM!N96+TSR!N96+PLKD!N96+MLPM!N96+KKD!N96+WYND!N96+KNR!N96+KSRGD!N96+SHS!N96</f>
        <v>0</v>
      </c>
      <c r="O96" s="21">
        <f>TVM!O96+KLM!O96+PTA!O96+ALP!O96+KTM!O96+IDK!O96+EKM!O96+TSR!O96+PLKD!O96+MLPM!O96+KKD!O96+WYND!O96+KNR!O96+KSRGD!O96+SHS!O96</f>
        <v>0</v>
      </c>
      <c r="P96" s="21">
        <f>TVM!P96+KLM!P96+PTA!P96+ALP!P96+KTM!P96+IDK!P96+EKM!P96+TSR!P96+PLKD!P96+MLPM!P96+KKD!P96+WYND!P96+KNR!P96+KSRGD!P96+SHS!P96</f>
        <v>0</v>
      </c>
      <c r="Q96" s="21"/>
      <c r="R96" s="21">
        <f>TVM!R96+KLM!R96+PTA!R96+ALP!R96+KTM!R96+IDK!R96+EKM!R96+TSR!R96+PLKD!R96+MLPM!R96+KKD!R96+WYND!R96+KNR!R96+KSRGD!R96+SHS!R96</f>
        <v>0</v>
      </c>
      <c r="S96" s="21"/>
      <c r="T96" s="21">
        <f>TVM!T96+KLM!T96+PTA!T96+ALP!T96+KTM!T96+IDK!T96+EKM!T96+TSR!T96+PLKD!T96+MLPM!T96+KKD!T96+WYND!T96+KNR!T96+KSRGD!T96+SHS!T96</f>
        <v>0</v>
      </c>
      <c r="U96" s="21"/>
      <c r="V96" s="21">
        <f>TVM!V96+KLM!V96+PTA!V96+ALP!V96+KTM!V96+IDK!V96+EKM!V96+TSR!V96+PLKD!V96+MLPM!V96+KKD!V96+WYND!V96+KNR!V96+KSRGD!V96+SHS!V96</f>
        <v>0</v>
      </c>
      <c r="W96" s="21"/>
      <c r="X96" s="22">
        <f t="shared" si="4"/>
        <v>0</v>
      </c>
      <c r="Y96" s="214"/>
    </row>
    <row r="97" spans="1:25" ht="189">
      <c r="A97" s="498"/>
      <c r="B97" s="498"/>
      <c r="C97" s="498"/>
      <c r="D97" s="43">
        <v>90</v>
      </c>
      <c r="E97" s="43" t="s">
        <v>150</v>
      </c>
      <c r="F97" s="21">
        <f>TVM!F97+KLM!F97+PTA!F97+ALP!F97+KTM!F97+IDK!F97+EKM!F97+TSR!F97+PLKD!F97+MLPM!F97+KKD!F97+WYND!F97+KNR!F97+KSRGD!F97+SHS!F97</f>
        <v>0</v>
      </c>
      <c r="G97" s="21"/>
      <c r="H97" s="21">
        <f>TVM!H97+KLM!H97+PTA!H97+ALP!H97+KTM!H97+IDK!H97+EKM!H97+TSR!H97+PLKD!H97+MLPM!H97+KKD!H97+WYND!H97+KNR!H97+KSRGD!H97+SHS!H97</f>
        <v>0</v>
      </c>
      <c r="I97" s="21">
        <f>TVM!I97+KLM!I97+PTA!I97+ALP!I97+KTM!I97+IDK!I97+EKM!I97+TSR!I97+PLKD!I97+MLPM!I97+KKD!I97+WYND!I97+KNR!I97+KSRGD!I97+SHS!I97</f>
        <v>0</v>
      </c>
      <c r="J97" s="21">
        <f>TVM!J97+KLM!J97+PTA!J97+ALP!J97+KTM!J97+IDK!J97+EKM!J97+TSR!J97+PLKD!J97+MLPM!J97+KKD!J97+WYND!J97+KNR!J97+KSRGD!J97+SHS!J97</f>
        <v>0</v>
      </c>
      <c r="K97" s="21"/>
      <c r="L97" s="21">
        <f>TVM!L97+KLM!L97+PTA!L97+ALP!L97+KTM!L97+IDK!L97+EKM!L97+TSR!L97+PLKD!L97+MLPM!L97+KKD!L97+WYND!L97+KNR!L97+KSRGD!L97+SHS!L97</f>
        <v>0</v>
      </c>
      <c r="M97" s="21"/>
      <c r="N97" s="21">
        <f>TVM!N97+KLM!N97+PTA!N97+ALP!N97+KTM!N97+IDK!N97+EKM!N97+TSR!N97+PLKD!N97+MLPM!N97+KKD!N97+WYND!N97+KNR!N97+KSRGD!N97+SHS!N97</f>
        <v>0</v>
      </c>
      <c r="O97" s="21">
        <f>TVM!O97+KLM!O97+PTA!O97+ALP!O97+KTM!O97+IDK!O97+EKM!O97+TSR!O97+PLKD!O97+MLPM!O97+KKD!O97+WYND!O97+KNR!O97+KSRGD!O97+SHS!O97</f>
        <v>0</v>
      </c>
      <c r="P97" s="21">
        <f>TVM!P97+KLM!P97+PTA!P97+ALP!P97+KTM!P97+IDK!P97+EKM!P97+TSR!P97+PLKD!P97+MLPM!P97+KKD!P97+WYND!P97+KNR!P97+KSRGD!P97+SHS!P97</f>
        <v>0</v>
      </c>
      <c r="Q97" s="21"/>
      <c r="R97" s="21">
        <f>TVM!R97+KLM!R97+PTA!R97+ALP!R97+KTM!R97+IDK!R97+EKM!R97+TSR!R97+PLKD!R97+MLPM!R97+KKD!R97+WYND!R97+KNR!R97+KSRGD!R97+SHS!R97</f>
        <v>0</v>
      </c>
      <c r="S97" s="21"/>
      <c r="T97" s="48">
        <f>TVM!T97+KLM!T97+PTA!T97+ALP!T97+KTM!T97+IDK!T97+EKM!T97+TSR!T97+PLKD!T97+MLPM!T97+KKD!T97+WYND!T97+KNR!T97+KSRGD!T97+SHS!T97</f>
        <v>3.25</v>
      </c>
      <c r="U97" s="21"/>
      <c r="V97" s="21">
        <f>TVM!V97+KLM!V97+PTA!V97+ALP!V97+KTM!V97+IDK!V97+EKM!V97+TSR!V97+PLKD!V97+MLPM!V97+KKD!V97+WYND!V97+KNR!V97+KSRGD!V97+SHS!V97</f>
        <v>0</v>
      </c>
      <c r="W97" s="21"/>
      <c r="X97" s="22">
        <f t="shared" si="4"/>
        <v>3.25</v>
      </c>
      <c r="Y97" s="214" t="s">
        <v>519</v>
      </c>
    </row>
    <row r="98" spans="1:25" ht="31.5">
      <c r="A98" s="498"/>
      <c r="B98" s="498"/>
      <c r="C98" s="498"/>
      <c r="D98" s="43">
        <v>91</v>
      </c>
      <c r="E98" s="43" t="s">
        <v>151</v>
      </c>
      <c r="F98" s="21">
        <f>TVM!F98+KLM!F98+PTA!F98+ALP!F98+KTM!F98+IDK!F98+EKM!F98+TSR!F98+PLKD!F98+MLPM!F98+KKD!F98+WYND!F98+KNR!F98+KSRGD!F98+SHS!F98</f>
        <v>0</v>
      </c>
      <c r="G98" s="21"/>
      <c r="H98" s="21">
        <f>TVM!H98+KLM!H98+PTA!H98+ALP!H98+KTM!H98+IDK!H98+EKM!H98+TSR!H98+PLKD!H98+MLPM!H98+KKD!H98+WYND!H98+KNR!H98+KSRGD!H98+SHS!H98</f>
        <v>0</v>
      </c>
      <c r="I98" s="21">
        <f>TVM!I98+KLM!I98+PTA!I98+ALP!I98+KTM!I98+IDK!I98+EKM!I98+TSR!I98+PLKD!I98+MLPM!I98+KKD!I98+WYND!I98+KNR!I98+KSRGD!I98+SHS!I98</f>
        <v>0</v>
      </c>
      <c r="J98" s="21">
        <f>TVM!J98+KLM!J98+PTA!J98+ALP!J98+KTM!J98+IDK!J98+EKM!J98+TSR!J98+PLKD!J98+MLPM!J98+KKD!J98+WYND!J98+KNR!J98+KSRGD!J98+SHS!J98</f>
        <v>0</v>
      </c>
      <c r="K98" s="21"/>
      <c r="L98" s="21">
        <f>TVM!L98+KLM!L98+PTA!L98+ALP!L98+KTM!L98+IDK!L98+EKM!L98+TSR!L98+PLKD!L98+MLPM!L98+KKD!L98+WYND!L98+KNR!L98+KSRGD!L98+SHS!L98</f>
        <v>0</v>
      </c>
      <c r="M98" s="21"/>
      <c r="N98" s="21">
        <f>TVM!N98+KLM!N98+PTA!N98+ALP!N98+KTM!N98+IDK!N98+EKM!N98+TSR!N98+PLKD!N98+MLPM!N98+KKD!N98+WYND!N98+KNR!N98+KSRGD!N98+SHS!N98</f>
        <v>0</v>
      </c>
      <c r="O98" s="22">
        <f>TVM!O98+KLM!O98+PTA!O98+ALP!O98+KTM!O98+IDK!O98+EKM!O98+TSR!O98+PLKD!O98+MLPM!O98+KKD!O98+WYND!O98+KNR!O98+KSRGD!O98+SHS!O98</f>
        <v>0</v>
      </c>
      <c r="P98" s="22">
        <f>TVM!P98+KLM!P98+PTA!P98+ALP!P98+KTM!P98+IDK!P98+EKM!P98+TSR!P98+PLKD!P98+MLPM!P98+KKD!P98+WYND!P98+KNR!P98+KSRGD!P98+SHS!P98</f>
        <v>0</v>
      </c>
      <c r="Q98" s="21"/>
      <c r="R98" s="21">
        <f>TVM!R98+KLM!R98+PTA!R98+ALP!R98+KTM!R98+IDK!R98+EKM!R98+TSR!R98+PLKD!R98+MLPM!R98+KKD!R98+WYND!R98+KNR!R98+KSRGD!R98+SHS!R98</f>
        <v>0</v>
      </c>
      <c r="S98" s="21"/>
      <c r="T98" s="48">
        <f>TVM!T98+KLM!T98+PTA!T98+ALP!T98+KTM!T98+IDK!T98+EKM!T98+TSR!T98+PLKD!T98+MLPM!T98+KKD!T98+WYND!T98+KNR!T98+KSRGD!T98+SHS!T98</f>
        <v>0</v>
      </c>
      <c r="U98" s="21"/>
      <c r="V98" s="21">
        <f>TVM!V98+KLM!V98+PTA!V98+ALP!V98+KTM!V98+IDK!V98+EKM!V98+TSR!V98+PLKD!V98+MLPM!V98+KKD!V98+WYND!V98+KNR!V98+KSRGD!V98+SHS!V98</f>
        <v>0</v>
      </c>
      <c r="W98" s="21"/>
      <c r="X98" s="22">
        <f t="shared" si="4"/>
        <v>0</v>
      </c>
      <c r="Y98" s="80"/>
    </row>
    <row r="99" spans="1:25" ht="63">
      <c r="A99" s="498"/>
      <c r="B99" s="498"/>
      <c r="C99" s="498"/>
      <c r="D99" s="43">
        <v>92</v>
      </c>
      <c r="E99" s="43" t="s">
        <v>152</v>
      </c>
      <c r="F99" s="21">
        <f>TVM!F99+KLM!F99+PTA!F99+ALP!F99+KTM!F99+IDK!F99+EKM!F99+TSR!F99+PLKD!F99+MLPM!F99+KKD!F99+WYND!F99+KNR!F99+KSRGD!F99+SHS!F99</f>
        <v>0</v>
      </c>
      <c r="G99" s="21"/>
      <c r="H99" s="21">
        <f>TVM!H99+KLM!H99+PTA!H99+ALP!H99+KTM!H99+IDK!H99+EKM!H99+TSR!H99+PLKD!H99+MLPM!H99+KKD!H99+WYND!H99+KNR!H99+KSRGD!H99+SHS!H99</f>
        <v>0</v>
      </c>
      <c r="I99" s="21">
        <f>TVM!I99+KLM!I99+PTA!I99+ALP!I99+KTM!I99+IDK!I99+EKM!I99+TSR!I99+PLKD!I99+MLPM!I99+KKD!I99+WYND!I99+KNR!I99+KSRGD!I99+SHS!I99</f>
        <v>0</v>
      </c>
      <c r="J99" s="21">
        <f>TVM!J99+KLM!J99+PTA!J99+ALP!J99+KTM!J99+IDK!J99+EKM!J99+TSR!J99+PLKD!J99+MLPM!J99+KKD!J99+WYND!J99+KNR!J99+KSRGD!J99+SHS!J99</f>
        <v>0</v>
      </c>
      <c r="K99" s="21"/>
      <c r="L99" s="21">
        <f>TVM!L99+KLM!L99+PTA!L99+ALP!L99+KTM!L99+IDK!L99+EKM!L99+TSR!L99+PLKD!L99+MLPM!L99+KKD!L99+WYND!L99+KNR!L99+KSRGD!L99+SHS!L99</f>
        <v>0</v>
      </c>
      <c r="M99" s="21"/>
      <c r="N99" s="21">
        <f>TVM!N99+KLM!N99+PTA!N99+ALP!N99+KTM!N99+IDK!N99+EKM!N99+TSR!N99+PLKD!N99+MLPM!N99+KKD!N99+WYND!N99+KNR!N99+KSRGD!N99+SHS!N99</f>
        <v>0</v>
      </c>
      <c r="O99" s="21">
        <f>TVM!O99+KLM!O99+PTA!O99+ALP!O99+KTM!O99+IDK!O99+EKM!O99+TSR!O99+PLKD!O99+MLPM!O99+KKD!O99+WYND!O99+KNR!O99+KSRGD!O99+SHS!O99</f>
        <v>0</v>
      </c>
      <c r="P99" s="21">
        <f>TVM!P99+KLM!P99+PTA!P99+ALP!P99+KTM!P99+IDK!P99+EKM!P99+TSR!P99+PLKD!P99+MLPM!P99+KKD!P99+WYND!P99+KNR!P99+KSRGD!P99+SHS!P99</f>
        <v>0</v>
      </c>
      <c r="Q99" s="21"/>
      <c r="R99" s="21">
        <f>TVM!R99+KLM!R99+PTA!R99+ALP!R99+KTM!R99+IDK!R99+EKM!R99+TSR!R99+PLKD!R99+MLPM!R99+KKD!R99+WYND!R99+KNR!R99+KSRGD!R99+SHS!R99</f>
        <v>0</v>
      </c>
      <c r="S99" s="21"/>
      <c r="T99" s="48">
        <f>TVM!T99+KLM!T99+PTA!T99+ALP!T99+KTM!T99+IDK!T99+EKM!T99+TSR!T99+PLKD!T99+MLPM!T99+KKD!T99+WYND!T99+KNR!T99+KSRGD!T99+SHS!T99</f>
        <v>26.7</v>
      </c>
      <c r="U99" s="21"/>
      <c r="V99" s="21">
        <f>TVM!V99+KLM!V99+PTA!V99+ALP!V99+KTM!V99+IDK!V99+EKM!V99+TSR!V99+PLKD!V99+MLPM!V99+KKD!V99+WYND!V99+KNR!V99+KSRGD!V99+SHS!V99</f>
        <v>0</v>
      </c>
      <c r="W99" s="21"/>
      <c r="X99" s="22">
        <f t="shared" si="4"/>
        <v>26.7</v>
      </c>
      <c r="Y99" s="214" t="s">
        <v>520</v>
      </c>
    </row>
    <row r="100" spans="1:25" ht="36" customHeight="1">
      <c r="A100" s="498"/>
      <c r="B100" s="498"/>
      <c r="C100" s="498"/>
      <c r="D100" s="43">
        <v>93</v>
      </c>
      <c r="E100" s="43" t="s">
        <v>153</v>
      </c>
      <c r="F100" s="21">
        <f>TVM!F100+KLM!F100+PTA!F100+ALP!F100+KTM!F100+IDK!F100+EKM!F100+TSR!F100+PLKD!F100+MLPM!F100+KKD!F100+WYND!F100+KNR!F100+KSRGD!F100+SHS!F100</f>
        <v>0</v>
      </c>
      <c r="G100" s="21"/>
      <c r="H100" s="21">
        <f>TVM!H100+KLM!H100+PTA!H100+ALP!H100+KTM!H100+IDK!H100+EKM!H100+TSR!H100+PLKD!H100+MLPM!H100+KKD!H100+WYND!H100+KNR!H100+KSRGD!H100+SHS!H100</f>
        <v>0</v>
      </c>
      <c r="I100" s="21">
        <f>TVM!I100+KLM!I100+PTA!I100+ALP!I100+KTM!I100+IDK!I100+EKM!I100+TSR!I100+PLKD!I100+MLPM!I100+KKD!I100+WYND!I100+KNR!I100+KSRGD!I100+SHS!I100</f>
        <v>0</v>
      </c>
      <c r="J100" s="21">
        <f>TVM!J100+KLM!J100+PTA!J100+ALP!J100+KTM!J100+IDK!J100+EKM!J100+TSR!J100+PLKD!J100+MLPM!J100+KKD!J100+WYND!J100+KNR!J100+KSRGD!J100+SHS!J100</f>
        <v>0</v>
      </c>
      <c r="K100" s="21"/>
      <c r="L100" s="48">
        <f>TVM!L100+KLM!L100+PTA!L100+ALP!L100+KTM!L100+IDK!L100+EKM!L100+TSR!L100+PLKD!L100+MLPM!L100+KKD!L100+WYND!L100+KNR!L100+KSRGD!L100+SHS!L100</f>
        <v>107.5</v>
      </c>
      <c r="M100" s="21"/>
      <c r="N100" s="21">
        <f>TVM!N100+KLM!N100+PTA!N100+ALP!N100+KTM!N100+IDK!N100+EKM!N100+TSR!N100+PLKD!N100+MLPM!N100+KKD!N100+WYND!N100+KNR!N100+KSRGD!N100+SHS!N100</f>
        <v>0</v>
      </c>
      <c r="O100" s="21">
        <f>TVM!O100+KLM!O100+PTA!O100+ALP!O100+KTM!O100+IDK!O100+EKM!O100+TSR!O100+PLKD!O100+MLPM!O100+KKD!O100+WYND!O100+KNR!O100+KSRGD!O100+SHS!O100</f>
        <v>0</v>
      </c>
      <c r="P100" s="21">
        <f>TVM!P100+KLM!P100+PTA!P100+ALP!P100+KTM!P100+IDK!P100+EKM!P100+TSR!P100+PLKD!P100+MLPM!P100+KKD!P100+WYND!P100+KNR!P100+KSRGD!P100+SHS!P100</f>
        <v>0</v>
      </c>
      <c r="Q100" s="21"/>
      <c r="R100" s="21">
        <f>TVM!R100+KLM!R100+PTA!R100+ALP!R100+KTM!R100+IDK!R100+EKM!R100+TSR!R100+PLKD!R100+MLPM!R100+KKD!R100+WYND!R100+KNR!R100+KSRGD!R100+SHS!R100</f>
        <v>0</v>
      </c>
      <c r="S100" s="21"/>
      <c r="T100" s="21">
        <f>TVM!T100+KLM!T100+PTA!T100+ALP!T100+KTM!T100+IDK!T100+EKM!T100+TSR!T100+PLKD!T100+MLPM!T100+KKD!T100+WYND!T100+KNR!T100+KSRGD!T100+SHS!T100</f>
        <v>0</v>
      </c>
      <c r="U100" s="21"/>
      <c r="V100" s="21">
        <f>TVM!V100+KLM!V100+PTA!V100+ALP!V100+KTM!V100+IDK!V100+EKM!V100+TSR!V100+PLKD!V100+MLPM!V100+KKD!V100+WYND!V100+KNR!V100+KSRGD!V100+SHS!V100</f>
        <v>0</v>
      </c>
      <c r="W100" s="21"/>
      <c r="X100" s="22">
        <f t="shared" si="4"/>
        <v>107.5</v>
      </c>
      <c r="Y100" s="80" t="s">
        <v>521</v>
      </c>
    </row>
    <row r="101" spans="1:25" ht="28.5" customHeight="1">
      <c r="A101" s="498"/>
      <c r="B101" s="498"/>
      <c r="C101" s="498"/>
      <c r="D101" s="43">
        <v>94</v>
      </c>
      <c r="E101" s="43" t="s">
        <v>154</v>
      </c>
      <c r="F101" s="21">
        <f>TVM!F101+KLM!F101+PTA!F101+ALP!F101+KTM!F101+IDK!F101+EKM!F101+TSR!F101+PLKD!F101+MLPM!F101+KKD!F101+WYND!F101+KNR!F101+KSRGD!F101+SHS!F101</f>
        <v>0</v>
      </c>
      <c r="G101" s="21"/>
      <c r="H101" s="21">
        <f>TVM!H101+KLM!H101+PTA!H101+ALP!H101+KTM!H101+IDK!H101+EKM!H101+TSR!H101+PLKD!H101+MLPM!H101+KKD!H101+WYND!H101+KNR!H101+KSRGD!H101+SHS!H101</f>
        <v>0</v>
      </c>
      <c r="I101" s="21">
        <f>TVM!I101+KLM!I101+PTA!I101+ALP!I101+KTM!I101+IDK!I101+EKM!I101+TSR!I101+PLKD!I101+MLPM!I101+KKD!I101+WYND!I101+KNR!I101+KSRGD!I101+SHS!I101</f>
        <v>0</v>
      </c>
      <c r="J101" s="21">
        <f>TVM!J101+KLM!J101+PTA!J101+ALP!J101+KTM!J101+IDK!J101+EKM!J101+TSR!J101+PLKD!J101+MLPM!J101+KKD!J101+WYND!J101+KNR!J101+KSRGD!J101+SHS!J101</f>
        <v>0</v>
      </c>
      <c r="K101" s="21"/>
      <c r="L101" s="48">
        <f>TVM!L101+KLM!L101+PTA!L101+ALP!L101+KTM!L101+IDK!L101+EKM!L101+TSR!L101+PLKD!L101+MLPM!L101+KKD!L101+WYND!L101+KNR!L101+KSRGD!L101+SHS!L101</f>
        <v>122.5</v>
      </c>
      <c r="M101" s="21"/>
      <c r="N101" s="21">
        <f>TVM!N101+KLM!N101+PTA!N101+ALP!N101+KTM!N101+IDK!N101+EKM!N101+TSR!N101+PLKD!N101+MLPM!N101+KKD!N101+WYND!N101+KNR!N101+KSRGD!N101+SHS!N101</f>
        <v>0</v>
      </c>
      <c r="O101" s="21">
        <f>TVM!O101+KLM!O101+PTA!O101+ALP!O101+KTM!O101+IDK!O101+EKM!O101+TSR!O101+PLKD!O101+MLPM!O101+KKD!O101+WYND!O101+KNR!O101+KSRGD!O101+SHS!O101</f>
        <v>0</v>
      </c>
      <c r="P101" s="21">
        <f>TVM!P101+KLM!P101+PTA!P101+ALP!P101+KTM!P101+IDK!P101+EKM!P101+TSR!P101+PLKD!P101+MLPM!P101+KKD!P101+WYND!P101+KNR!P101+KSRGD!P101+SHS!P101</f>
        <v>0</v>
      </c>
      <c r="Q101" s="21"/>
      <c r="R101" s="21">
        <f>TVM!R101+KLM!R101+PTA!R101+ALP!R101+KTM!R101+IDK!R101+EKM!R101+TSR!R101+PLKD!R101+MLPM!R101+KKD!R101+WYND!R101+KNR!R101+KSRGD!R101+SHS!R101</f>
        <v>0</v>
      </c>
      <c r="S101" s="21"/>
      <c r="T101" s="21">
        <f>TVM!T101+KLM!T101+PTA!T101+ALP!T101+KTM!T101+IDK!T101+EKM!T101+TSR!T101+PLKD!T101+MLPM!T101+KKD!T101+WYND!T101+KNR!T101+KSRGD!T101+SHS!T101</f>
        <v>0</v>
      </c>
      <c r="U101" s="21"/>
      <c r="V101" s="21">
        <f>TVM!V101+KLM!V101+PTA!V101+ALP!V101+KTM!V101+IDK!V101+EKM!V101+TSR!V101+PLKD!V101+MLPM!V101+KKD!V101+WYND!V101+KNR!V101+KSRGD!V101+SHS!V101</f>
        <v>0</v>
      </c>
      <c r="W101" s="21"/>
      <c r="X101" s="22">
        <f t="shared" si="4"/>
        <v>122.5</v>
      </c>
      <c r="Y101" s="80" t="s">
        <v>522</v>
      </c>
    </row>
    <row r="102" spans="1:25" ht="76.5" customHeight="1">
      <c r="A102" s="498"/>
      <c r="B102" s="498"/>
      <c r="C102" s="498"/>
      <c r="D102" s="43">
        <v>95</v>
      </c>
      <c r="E102" s="43" t="s">
        <v>155</v>
      </c>
      <c r="F102" s="21">
        <f>TVM!F102+KLM!F102+PTA!F102+ALP!F102+KTM!F102+IDK!F102+EKM!F102+TSR!F102+PLKD!F102+MLPM!F102+KKD!F102+WYND!F102+KNR!F102+KSRGD!F102+SHS!F102</f>
        <v>0</v>
      </c>
      <c r="G102" s="21"/>
      <c r="H102" s="21">
        <f>TVM!H102+KLM!H102+PTA!H102+ALP!H102+KTM!H102+IDK!H102+EKM!H102+TSR!H102+PLKD!H102+MLPM!H102+KKD!H102+WYND!H102+KNR!H102+KSRGD!H102+SHS!H102</f>
        <v>0</v>
      </c>
      <c r="I102" s="48">
        <f>TVM!I102+KLM!I102+PTA!I102+ALP!I102+KTM!I102+IDK!I102+EKM!I102+TSR!I102+PLKD!I102+MLPM!I102+KKD!I102+WYND!I102+KNR!I102+KSRGD!I102+SHS!I102</f>
        <v>0</v>
      </c>
      <c r="J102" s="48">
        <f>TVM!J102+KLM!J102+PTA!J102+ALP!J102+KTM!J102+IDK!J102+EKM!J102+TSR!J102+PLKD!J102+MLPM!J102+KKD!J102+WYND!J102+KNR!J102+KSRGD!J102+SHS!J102</f>
        <v>0</v>
      </c>
      <c r="K102" s="21"/>
      <c r="L102" s="22">
        <f>TVM!L102+KLM!L102+PTA!L102+ALP!L102+KTM!L102+IDK!L102+EKM!L102+TSR!L102+PLKD!L102+MLPM!L102+KKD!L102+WYND!L102+KNR!L102+KSRGD!L102+SHS!L102</f>
        <v>1097</v>
      </c>
      <c r="M102" s="21"/>
      <c r="N102" s="21">
        <f>TVM!N102+KLM!N102+PTA!N102+ALP!N102+KTM!N102+IDK!N102+EKM!N102+TSR!N102+PLKD!N102+MLPM!N102+KKD!N102+WYND!N102+KNR!N102+KSRGD!N102+SHS!N102</f>
        <v>0</v>
      </c>
      <c r="O102" s="21">
        <f>TVM!O102+KLM!O102+PTA!O102+ALP!O102+KTM!O102+IDK!O102+EKM!O102+TSR!O102+PLKD!O102+MLPM!O102+KKD!O102+WYND!O102+KNR!O102+KSRGD!O102+SHS!O102</f>
        <v>0</v>
      </c>
      <c r="P102" s="21">
        <f>TVM!P102+KLM!P102+PTA!P102+ALP!P102+KTM!P102+IDK!P102+EKM!P102+TSR!P102+PLKD!P102+MLPM!P102+KKD!P102+WYND!P102+KNR!P102+KSRGD!P102+SHS!P102</f>
        <v>0</v>
      </c>
      <c r="Q102" s="21"/>
      <c r="R102" s="21">
        <f>TVM!R102+KLM!R102+PTA!R102+ALP!R102+KTM!R102+IDK!R102+EKM!R102+TSR!R102+PLKD!R102+MLPM!R102+KKD!R102+WYND!R102+KNR!R102+KSRGD!R102+SHS!R102</f>
        <v>0</v>
      </c>
      <c r="S102" s="21"/>
      <c r="T102" s="21">
        <f>TVM!T102+KLM!T102+PTA!T102+ALP!T102+KTM!T102+IDK!T102+EKM!T102+TSR!T102+PLKD!T102+MLPM!T102+KKD!T102+WYND!T102+KNR!T102+KSRGD!T102+SHS!T102</f>
        <v>0</v>
      </c>
      <c r="U102" s="21"/>
      <c r="V102" s="21">
        <f>TVM!V102+KLM!V102+PTA!V102+ALP!V102+KTM!V102+IDK!V102+EKM!V102+TSR!V102+PLKD!V102+MLPM!V102+KKD!V102+WYND!V102+KNR!V102+KSRGD!V102+SHS!V102</f>
        <v>0</v>
      </c>
      <c r="W102" s="21"/>
      <c r="X102" s="76">
        <f t="shared" si="4"/>
        <v>1097</v>
      </c>
      <c r="Y102" s="55" t="s">
        <v>426</v>
      </c>
    </row>
    <row r="103" spans="1:25" ht="63">
      <c r="A103" s="498"/>
      <c r="B103" s="496"/>
      <c r="C103" s="496"/>
      <c r="D103" s="43">
        <v>96</v>
      </c>
      <c r="E103" s="43" t="s">
        <v>156</v>
      </c>
      <c r="F103" s="21">
        <f>TVM!F103+KLM!F103+PTA!F103+ALP!F103+KTM!F103+IDK!F103+EKM!F103+TSR!F103+PLKD!F103+MLPM!F103+KKD!F103+WYND!F103+KNR!F103+KSRGD!F103+SHS!F103</f>
        <v>0</v>
      </c>
      <c r="G103" s="21"/>
      <c r="H103" s="21">
        <f>TVM!H103+KLM!H103+PTA!H103+ALP!H103+KTM!H103+IDK!H103+EKM!H103+TSR!H103+PLKD!H103+MLPM!H103+KKD!H103+WYND!H103+KNR!H103+KSRGD!H103+SHS!H103</f>
        <v>0</v>
      </c>
      <c r="I103" s="21">
        <f>TVM!I103+KLM!I103+PTA!I103+ALP!I103+KTM!I103+IDK!I103+EKM!I103+TSR!I103+PLKD!I103+MLPM!I103+KKD!I103+WYND!I103+KNR!I103+KSRGD!I103+SHS!I103</f>
        <v>0</v>
      </c>
      <c r="J103" s="21">
        <f>TVM!J103+KLM!J103+PTA!J103+ALP!J103+KTM!J103+IDK!J103+EKM!J103+TSR!J103+PLKD!J103+MLPM!J103+KKD!J103+WYND!J103+KNR!J103+KSRGD!J103+SHS!J103</f>
        <v>0</v>
      </c>
      <c r="K103" s="21"/>
      <c r="L103" s="21">
        <f>TVM!L103+KLM!L103+PTA!L103+ALP!L103+KTM!L103+IDK!L103+EKM!L103+TSR!L103+PLKD!L103+MLPM!L103+KKD!L103+WYND!L103+KNR!L103+KSRGD!L103+SHS!L103</f>
        <v>0</v>
      </c>
      <c r="M103" s="21"/>
      <c r="N103" s="21">
        <f>TVM!N103+KLM!N103+PTA!N103+ALP!N103+KTM!N103+IDK!N103+EKM!N103+TSR!N103+PLKD!N103+MLPM!N103+KKD!N103+WYND!N103+KNR!N103+KSRGD!N103+SHS!N103</f>
        <v>0</v>
      </c>
      <c r="O103" s="21">
        <f>TVM!O103+KLM!O103+PTA!O103+ALP!O103+KTM!O103+IDK!O103+EKM!O103+TSR!O103+PLKD!O103+MLPM!O103+KKD!O103+WYND!O103+KNR!O103+KSRGD!O103+SHS!O103</f>
        <v>0</v>
      </c>
      <c r="P103" s="21">
        <f>TVM!P103+KLM!P103+PTA!P103+ALP!P103+KTM!P103+IDK!P103+EKM!P103+TSR!P103+PLKD!P103+MLPM!P103+KKD!P103+WYND!P103+KNR!P103+KSRGD!P103+SHS!P103</f>
        <v>0</v>
      </c>
      <c r="Q103" s="21"/>
      <c r="R103" s="21">
        <f>TVM!R103+KLM!R103+PTA!R103+ALP!R103+KTM!R103+IDK!R103+EKM!R103+TSR!R103+PLKD!R103+MLPM!R103+KKD!R103+WYND!R103+KNR!R103+KSRGD!R103+SHS!R103</f>
        <v>0</v>
      </c>
      <c r="S103" s="21"/>
      <c r="T103" s="22">
        <f>TVM!T103+KLM!T103+PTA!T103+ALP!T103+KTM!T103+IDK!T103+EKM!T103+TSR!T103+PLKD!T103+MLPM!T103+KKD!T103+WYND!T103+KNR!T103+KSRGD!T103+SHS!T103</f>
        <v>15</v>
      </c>
      <c r="U103" s="21"/>
      <c r="V103" s="21">
        <f>TVM!V103+KLM!V103+PTA!V103+ALP!V103+KTM!V103+IDK!V103+EKM!V103+TSR!V103+PLKD!V103+MLPM!V103+KKD!V103+WYND!V103+KNR!V103+KSRGD!V103+SHS!V103</f>
        <v>0</v>
      </c>
      <c r="W103" s="21"/>
      <c r="X103" s="76">
        <f t="shared" si="4"/>
        <v>15</v>
      </c>
      <c r="Y103" s="362" t="s">
        <v>523</v>
      </c>
    </row>
    <row r="104" spans="1:25" ht="299.25">
      <c r="A104" s="498"/>
      <c r="B104" s="497" t="s">
        <v>158</v>
      </c>
      <c r="C104" s="497" t="s">
        <v>159</v>
      </c>
      <c r="D104" s="43">
        <v>97</v>
      </c>
      <c r="E104" s="43" t="s">
        <v>160</v>
      </c>
      <c r="F104" s="21">
        <f>TVM!F104+KLM!F104+PTA!F104+ALP!F104+KTM!F104+IDK!F104+EKM!F104+TSR!F104+PLKD!F104+MLPM!F104+KKD!F104+WYND!F104+KNR!F104+KSRGD!F104+SHS!F104</f>
        <v>0</v>
      </c>
      <c r="G104" s="21"/>
      <c r="H104" s="21">
        <f>TVM!H104+KLM!H104+PTA!H104+ALP!H104+KTM!H104+IDK!H104+EKM!H104+TSR!H104+PLKD!H104+MLPM!H104+KKD!H104+WYND!H104+KNR!H104+KSRGD!H104+SHS!H104</f>
        <v>0</v>
      </c>
      <c r="I104" s="21">
        <f>TVM!I104+KLM!I104+PTA!I104+ALP!I104+KTM!I104+IDK!I104+EKM!I104+TSR!I104+PLKD!I104+MLPM!I104+KKD!I104+WYND!I104+KNR!I104+KSRGD!I104+SHS!I104</f>
        <v>0</v>
      </c>
      <c r="J104" s="21">
        <f>TVM!J104+KLM!J104+PTA!J104+ALP!J104+KTM!J104+IDK!J104+EKM!J104+TSR!J104+PLKD!J104+MLPM!J104+KKD!J104+WYND!J104+KNR!J104+KSRGD!J104+SHS!J104</f>
        <v>0</v>
      </c>
      <c r="K104" s="21"/>
      <c r="L104" s="22">
        <f>TVM!L104+KLM!L104+PTA!L104+ALP!L104+KTM!L104+IDK!L104+EKM!L104+TSR!L104+PLKD!L104+MLPM!L104+KKD!L104+WYND!L104+KNR!L104+KSRGD!L104+SHS!L104</f>
        <v>0</v>
      </c>
      <c r="M104" s="21"/>
      <c r="N104" s="21">
        <f>TVM!N104+KLM!N104+PTA!N104+ALP!N104+KTM!N104+IDK!N104+EKM!N104+TSR!N104+PLKD!N104+MLPM!N104+KKD!N104+WYND!N104+KNR!N104+KSRGD!N104+SHS!N104</f>
        <v>0</v>
      </c>
      <c r="O104" s="22">
        <f>TVM!O104+KLM!O104+PTA!O104+ALP!O104+KTM!O104+IDK!O104+EKM!O104+TSR!O104+PLKD!O104+MLPM!O104+KKD!O104+WYND!O104+KNR!O104+KSRGD!O104+SHS!O104</f>
        <v>0</v>
      </c>
      <c r="P104" s="22">
        <f>TVM!P104+KLM!P104+PTA!P104+ALP!P104+KTM!P104+IDK!P104+EKM!P104+TSR!P104+PLKD!P104+MLPM!P104+KKD!P104+WYND!P104+KNR!P104+KSRGD!P104+SHS!P104</f>
        <v>0</v>
      </c>
      <c r="Q104" s="21"/>
      <c r="R104" s="22">
        <f>TVM!R104+KLM!R104+PTA!R104+ALP!R104+KTM!R104+IDK!R104+EKM!R104+TSR!R104+PLKD!R104+MLPM!R104+KKD!R104+WYND!R104+KNR!R104+KSRGD!R104+SHS!R104</f>
        <v>0</v>
      </c>
      <c r="S104" s="21"/>
      <c r="T104" s="48">
        <f>TVM!T104+KLM!T104+PTA!T104+ALP!T104+KTM!T104+IDK!T104+EKM!T104+TSR!T104+PLKD!T104+MLPM!T104+KKD!T104+WYND!T104+KNR!T104+KSRGD!T104+SHS!T104</f>
        <v>154.80000000000001</v>
      </c>
      <c r="U104" s="21"/>
      <c r="V104" s="21">
        <f>TVM!V104+KLM!V104+PTA!V104+ALP!V104+KTM!V104+IDK!V104+EKM!V104+TSR!V104+PLKD!V104+MLPM!V104+KKD!V104+WYND!V104+KNR!V104+KSRGD!V104+SHS!V104</f>
        <v>0</v>
      </c>
      <c r="W104" s="21"/>
      <c r="X104" s="22">
        <f t="shared" si="4"/>
        <v>154.80000000000001</v>
      </c>
      <c r="Y104" s="452" t="s">
        <v>563</v>
      </c>
    </row>
    <row r="105" spans="1:25" ht="110.25">
      <c r="A105" s="498"/>
      <c r="B105" s="496"/>
      <c r="C105" s="496"/>
      <c r="D105" s="43">
        <v>98</v>
      </c>
      <c r="E105" s="43" t="s">
        <v>44</v>
      </c>
      <c r="F105" s="21">
        <f>TVM!F105+KLM!F105+PTA!F105+ALP!F105+KTM!F105+IDK!F105+EKM!F105+TSR!F105+PLKD!F105+MLPM!F105+KKD!F105+WYND!F105+KNR!F105+KSRGD!F105+SHS!F105</f>
        <v>0</v>
      </c>
      <c r="G105" s="21"/>
      <c r="H105" s="21">
        <f>TVM!H105+KLM!H105+PTA!H105+ALP!H105+KTM!H105+IDK!H105+EKM!H105+TSR!H105+PLKD!H105+MLPM!H105+KKD!H105+WYND!H105+KNR!H105+KSRGD!H105+SHS!H105</f>
        <v>0</v>
      </c>
      <c r="I105" s="21">
        <f>TVM!I105+KLM!I105+PTA!I105+ALP!I105+KTM!I105+IDK!I105+EKM!I105+TSR!I105+PLKD!I105+MLPM!I105+KKD!I105+WYND!I105+KNR!I105+KSRGD!I105+SHS!I105</f>
        <v>0</v>
      </c>
      <c r="J105" s="21">
        <f>TVM!J105+KLM!J105+PTA!J105+ALP!J105+KTM!J105+IDK!J105+EKM!J105+TSR!J105+PLKD!J105+MLPM!J105+KKD!J105+WYND!J105+KNR!J105+KSRGD!J105+SHS!J105</f>
        <v>0</v>
      </c>
      <c r="K105" s="21"/>
      <c r="L105" s="21">
        <f>TVM!L105+KLM!L105+PTA!L105+ALP!L105+KTM!L105+IDK!L105+EKM!L105+TSR!L105+PLKD!L105+MLPM!L105+KKD!L105+WYND!L105+KNR!L105+KSRGD!L105+SHS!L105</f>
        <v>0</v>
      </c>
      <c r="M105" s="21"/>
      <c r="N105" s="21">
        <f>TVM!N105+KLM!N105+PTA!N105+ALP!N105+KTM!N105+IDK!N105+EKM!N105+TSR!N105+PLKD!N105+MLPM!N105+KKD!N105+WYND!N105+KNR!N105+KSRGD!N105+SHS!N105</f>
        <v>0</v>
      </c>
      <c r="O105" s="21">
        <f>TVM!O105+KLM!O105+PTA!O105+ALP!O105+KTM!O105+IDK!O105+EKM!O105+TSR!O105+PLKD!O105+MLPM!O105+KKD!O105+WYND!O105+KNR!O105+KSRGD!O105+SHS!O105</f>
        <v>0</v>
      </c>
      <c r="P105" s="21">
        <f>TVM!P105+KLM!P105+PTA!P105+ALP!P105+KTM!P105+IDK!P105+EKM!P105+TSR!P105+PLKD!P105+MLPM!P105+KKD!P105+WYND!P105+KNR!P105+KSRGD!P105+SHS!P105</f>
        <v>0</v>
      </c>
      <c r="Q105" s="21"/>
      <c r="R105" s="21">
        <f>TVM!R105+KLM!R105+PTA!R105+ALP!R105+KTM!R105+IDK!R105+EKM!R105+TSR!R105+PLKD!R105+MLPM!R105+KKD!R105+WYND!R105+KNR!R105+KSRGD!R105+SHS!R105</f>
        <v>0</v>
      </c>
      <c r="S105" s="21"/>
      <c r="T105" s="21">
        <v>93.76</v>
      </c>
      <c r="U105" s="21"/>
      <c r="V105" s="21">
        <f>TVM!V105+KLM!V105+PTA!V105+ALP!V105+KTM!V105+IDK!V105+EKM!V105+TSR!V105+PLKD!V105+MLPM!V105+KKD!V105+WYND!V105+KNR!V105+KSRGD!V105+SHS!V105</f>
        <v>0</v>
      </c>
      <c r="W105" s="21"/>
      <c r="X105" s="22">
        <f t="shared" si="4"/>
        <v>93.76</v>
      </c>
      <c r="Y105" s="46" t="s">
        <v>524</v>
      </c>
    </row>
    <row r="106" spans="1:25" ht="47.25">
      <c r="A106" s="498"/>
      <c r="B106" s="497" t="s">
        <v>161</v>
      </c>
      <c r="C106" s="497" t="s">
        <v>162</v>
      </c>
      <c r="D106" s="43">
        <v>99</v>
      </c>
      <c r="E106" s="43" t="s">
        <v>163</v>
      </c>
      <c r="F106" s="21">
        <f>TVM!F106+KLM!F106+PTA!F106+ALP!F106+KTM!F106+IDK!F106+EKM!F106+TSR!F106+PLKD!F106+MLPM!F106+KKD!F106+WYND!F106+KNR!F106+KSRGD!F106+SHS!F106</f>
        <v>0</v>
      </c>
      <c r="G106" s="21"/>
      <c r="H106" s="21">
        <f>TVM!H106+KLM!H106+PTA!H106+ALP!H106+KTM!H106+IDK!H106+EKM!H106+TSR!H106+PLKD!H106+MLPM!H106+KKD!H106+WYND!H106+KNR!H106+KSRGD!H106+SHS!H106</f>
        <v>40</v>
      </c>
      <c r="I106" s="48">
        <f>TVM!I106+KLM!I106+PTA!I106+ALP!I106+KTM!I106+IDK!I106+EKM!I106+TSR!I106+PLKD!I106+MLPM!I106+KKD!I106+WYND!I106+KNR!I106+KSRGD!I106+SHS!I106</f>
        <v>0</v>
      </c>
      <c r="J106" s="48">
        <f>TVM!J106+KLM!J106+PTA!J106+ALP!J106+KTM!J106+IDK!J106+EKM!J106+TSR!J106+PLKD!J106+MLPM!J106+KKD!J106+WYND!J106+KNR!J106+KSRGD!J106+SHS!J106</f>
        <v>40</v>
      </c>
      <c r="K106" s="21"/>
      <c r="L106" s="22">
        <f>TVM!L106+KLM!L106+PTA!L106+ALP!L106+KTM!L106+IDK!L106+EKM!L106+TSR!L106+PLKD!L106+MLPM!L106+KKD!L106+WYND!L106+KNR!L106+KSRGD!L106+SHS!L106</f>
        <v>0</v>
      </c>
      <c r="M106" s="21"/>
      <c r="N106" s="21">
        <f>TVM!N106+KLM!N106+PTA!N106+ALP!N106+KTM!N106+IDK!N106+EKM!N106+TSR!N106+PLKD!N106+MLPM!N106+KKD!N106+WYND!N106+KNR!N106+KSRGD!N106+SHS!N106</f>
        <v>0</v>
      </c>
      <c r="O106" s="22">
        <f>TVM!O106+KLM!O106+PTA!O106+ALP!O106+KTM!O106+IDK!O106+EKM!O106+TSR!O106+PLKD!O106+MLPM!O106+KKD!O106+WYND!O106+KNR!O106+KSRGD!O106+SHS!O106</f>
        <v>140</v>
      </c>
      <c r="P106" s="22">
        <f>TVM!P106+KLM!P106+PTA!P106+ALP!P106+KTM!P106+IDK!P106+EKM!P106+TSR!P106+PLKD!P106+MLPM!P106+KKD!P106+WYND!P106+KNR!P106+KSRGD!P106+SHS!P106</f>
        <v>140</v>
      </c>
      <c r="Q106" s="21"/>
      <c r="R106" s="21">
        <f>TVM!R106+KLM!R106+PTA!R106+ALP!R106+KTM!R106+IDK!R106+EKM!R106+TSR!R106+PLKD!R106+MLPM!R106+KKD!R106+WYND!R106+KNR!R106+KSRGD!R106+SHS!R106</f>
        <v>0</v>
      </c>
      <c r="S106" s="21"/>
      <c r="T106" s="21">
        <f>TVM!T106+KLM!T106+PTA!T106+ALP!T106+KTM!T106+IDK!T106+EKM!T106+TSR!T106+PLKD!T106+MLPM!T106+KKD!T106+WYND!T106+KNR!T106+KSRGD!T106+SHS!T106</f>
        <v>0</v>
      </c>
      <c r="U106" s="21"/>
      <c r="V106" s="21">
        <f>TVM!V106+KLM!V106+PTA!V106+ALP!V106+KTM!V106+IDK!V106+EKM!V106+TSR!V106+PLKD!V106+MLPM!V106+KKD!V106+WYND!V106+KNR!V106+KSRGD!V106+SHS!V106</f>
        <v>0</v>
      </c>
      <c r="W106" s="21"/>
      <c r="X106" s="22">
        <f t="shared" si="4"/>
        <v>180</v>
      </c>
      <c r="Y106" s="61" t="s">
        <v>525</v>
      </c>
    </row>
    <row r="107" spans="1:25" ht="31.5">
      <c r="A107" s="498"/>
      <c r="B107" s="498"/>
      <c r="C107" s="498"/>
      <c r="D107" s="43">
        <v>100</v>
      </c>
      <c r="E107" s="43" t="s">
        <v>165</v>
      </c>
      <c r="F107" s="21">
        <f>TVM!F107+KLM!F107+PTA!F107+ALP!F107+KTM!F107+IDK!F107+EKM!F107+TSR!F107+PLKD!F107+MLPM!F107+KKD!F107+WYND!F107+KNR!F107+KSRGD!F107+SHS!F107</f>
        <v>0</v>
      </c>
      <c r="G107" s="21"/>
      <c r="H107" s="21">
        <f>TVM!H107+KLM!H107+PTA!H107+ALP!H107+KTM!H107+IDK!H107+EKM!H107+TSR!H107+PLKD!H107+MLPM!H107+KKD!H107+WYND!H107+KNR!H107+KSRGD!H107+SHS!H107</f>
        <v>0</v>
      </c>
      <c r="I107" s="21">
        <f>TVM!I107+KLM!I107+PTA!I107+ALP!I107+KTM!I107+IDK!I107+EKM!I107+TSR!I107+PLKD!I107+MLPM!I107+KKD!I107+WYND!I107+KNR!I107+KSRGD!I107+SHS!I107</f>
        <v>0</v>
      </c>
      <c r="J107" s="21">
        <f>TVM!J107+KLM!J107+PTA!J107+ALP!J107+KTM!J107+IDK!J107+EKM!J107+TSR!J107+PLKD!J107+MLPM!J107+KKD!J107+WYND!J107+KNR!J107+KSRGD!J107+SHS!J107</f>
        <v>0</v>
      </c>
      <c r="K107" s="21"/>
      <c r="L107" s="22">
        <f>TVM!L107+KLM!L107+PTA!L107+ALP!L107+KTM!L107+IDK!L107+EKM!L107+TSR!L107+PLKD!L107+MLPM!L107+KKD!L107+WYND!L107+KNR!L107+KSRGD!L107+SHS!L107</f>
        <v>0</v>
      </c>
      <c r="M107" s="21"/>
      <c r="N107" s="21">
        <f>TVM!N107+KLM!N107+PTA!N107+ALP!N107+KTM!N107+IDK!N107+EKM!N107+TSR!N107+PLKD!N107+MLPM!N107+KKD!N107+WYND!N107+KNR!N107+KSRGD!N107+SHS!N107</f>
        <v>0</v>
      </c>
      <c r="O107" s="22">
        <f>TVM!O107+KLM!O107+PTA!O107+ALP!O107+KTM!O107+IDK!O107+EKM!O107+TSR!O107+PLKD!O107+MLPM!O107+KKD!O107+WYND!O107+KNR!O107+KSRGD!O107+SHS!O107</f>
        <v>0</v>
      </c>
      <c r="P107" s="22">
        <f>TVM!P107+KLM!P107+PTA!P107+ALP!P107+KTM!P107+IDK!P107+EKM!P107+TSR!P107+PLKD!P107+MLPM!P107+KKD!P107+WYND!P107+KNR!P107+KSRGD!P107+SHS!P107</f>
        <v>0</v>
      </c>
      <c r="Q107" s="21"/>
      <c r="R107" s="21">
        <f>TVM!R107+KLM!R107+PTA!R107+ALP!R107+KTM!R107+IDK!R107+EKM!R107+TSR!R107+PLKD!R107+MLPM!R107+KKD!R107+WYND!R107+KNR!R107+KSRGD!R107+SHS!R107</f>
        <v>0</v>
      </c>
      <c r="S107" s="21"/>
      <c r="T107" s="21">
        <f>TVM!T107+KLM!T107+PTA!T107+ALP!T107+KTM!T107+IDK!T107+EKM!T107+TSR!T107+PLKD!T107+MLPM!T107+KKD!T107+WYND!T107+KNR!T107+KSRGD!T107+SHS!T107</f>
        <v>0</v>
      </c>
      <c r="U107" s="21"/>
      <c r="V107" s="21">
        <f>TVM!V107+KLM!V107+PTA!V107+ALP!V107+KTM!V107+IDK!V107+EKM!V107+TSR!V107+PLKD!V107+MLPM!V107+KKD!V107+WYND!V107+KNR!V107+KSRGD!V107+SHS!V107</f>
        <v>0</v>
      </c>
      <c r="W107" s="21"/>
      <c r="X107" s="22">
        <f t="shared" si="4"/>
        <v>0</v>
      </c>
      <c r="Y107" s="61"/>
    </row>
    <row r="108" spans="1:25" ht="31.5">
      <c r="A108" s="498"/>
      <c r="B108" s="498"/>
      <c r="C108" s="498"/>
      <c r="D108" s="43">
        <v>101</v>
      </c>
      <c r="E108" s="43" t="s">
        <v>166</v>
      </c>
      <c r="F108" s="21">
        <f>TVM!F108+KLM!F108+PTA!F108+ALP!F108+KTM!F108+IDK!F108+EKM!F108+TSR!F108+PLKD!F108+MLPM!F108+KKD!F108+WYND!F108+KNR!F108+KSRGD!F108+SHS!F108</f>
        <v>0</v>
      </c>
      <c r="G108" s="21"/>
      <c r="H108" s="21">
        <f>TVM!H108+KLM!H108+PTA!H108+ALP!H108+KTM!H108+IDK!H108+EKM!H108+TSR!H108+PLKD!H108+MLPM!H108+KKD!H108+WYND!H108+KNR!H108+KSRGD!H108+SHS!H108</f>
        <v>0</v>
      </c>
      <c r="I108" s="21">
        <f>TVM!I108+KLM!I108+PTA!I108+ALP!I108+KTM!I108+IDK!I108+EKM!I108+TSR!I108+PLKD!I108+MLPM!I108+KKD!I108+WYND!I108+KNR!I108+KSRGD!I108+SHS!I108</f>
        <v>0</v>
      </c>
      <c r="J108" s="21">
        <f>TVM!J108+KLM!J108+PTA!J108+ALP!J108+KTM!J108+IDK!J108+EKM!J108+TSR!J108+PLKD!J108+MLPM!J108+KKD!J108+WYND!J108+KNR!J108+KSRGD!J108+SHS!J108</f>
        <v>0</v>
      </c>
      <c r="K108" s="21"/>
      <c r="L108" s="21">
        <f>TVM!L108+KLM!L108+PTA!L108+ALP!L108+KTM!L108+IDK!L108+EKM!L108+TSR!L108+PLKD!L108+MLPM!L108+KKD!L108+WYND!L108+KNR!L108+KSRGD!L108+SHS!L108</f>
        <v>0</v>
      </c>
      <c r="M108" s="21"/>
      <c r="N108" s="21">
        <f>TVM!N108+KLM!N108+PTA!N108+ALP!N108+KTM!N108+IDK!N108+EKM!N108+TSR!N108+PLKD!N108+MLPM!N108+KKD!N108+WYND!N108+KNR!N108+KSRGD!N108+SHS!N108</f>
        <v>0</v>
      </c>
      <c r="O108" s="21">
        <f>TVM!O108+KLM!O108+PTA!O108+ALP!O108+KTM!O108+IDK!O108+EKM!O108+TSR!O108+PLKD!O108+MLPM!O108+KKD!O108+WYND!O108+KNR!O108+KSRGD!O108+SHS!O108</f>
        <v>0</v>
      </c>
      <c r="P108" s="21">
        <f>TVM!P108+KLM!P108+PTA!P108+ALP!P108+KTM!P108+IDK!P108+EKM!P108+TSR!P108+PLKD!P108+MLPM!P108+KKD!P108+WYND!P108+KNR!P108+KSRGD!P108+SHS!P108</f>
        <v>0</v>
      </c>
      <c r="Q108" s="21"/>
      <c r="R108" s="21">
        <f>TVM!R108+KLM!R108+PTA!R108+ALP!R108+KTM!R108+IDK!R108+EKM!R108+TSR!R108+PLKD!R108+MLPM!R108+KKD!R108+WYND!R108+KNR!R108+KSRGD!R108+SHS!R108</f>
        <v>0</v>
      </c>
      <c r="S108" s="21"/>
      <c r="T108" s="21">
        <f>TVM!T108+KLM!T108+PTA!T108+ALP!T108+KTM!T108+IDK!T108+EKM!T108+TSR!T108+PLKD!T108+MLPM!T108+KKD!T108+WYND!T108+KNR!T108+KSRGD!T108+SHS!T108</f>
        <v>0</v>
      </c>
      <c r="U108" s="21"/>
      <c r="V108" s="21">
        <f>TVM!V108+KLM!V108+PTA!V108+ALP!V108+KTM!V108+IDK!V108+EKM!V108+TSR!V108+PLKD!V108+MLPM!V108+KKD!V108+WYND!V108+KNR!V108+KSRGD!V108+SHS!V108</f>
        <v>0</v>
      </c>
      <c r="W108" s="21"/>
      <c r="X108" s="22">
        <f t="shared" si="4"/>
        <v>0</v>
      </c>
      <c r="Y108" s="46"/>
    </row>
    <row r="109" spans="1:25" ht="78.75">
      <c r="A109" s="498"/>
      <c r="B109" s="498"/>
      <c r="C109" s="498"/>
      <c r="D109" s="43">
        <v>102</v>
      </c>
      <c r="E109" s="43" t="s">
        <v>167</v>
      </c>
      <c r="F109" s="21">
        <f>TVM!F109+KLM!F109+PTA!F109+ALP!F109+KTM!F109+IDK!F109+EKM!F109+TSR!F109+PLKD!F109+MLPM!F109+KKD!F109+WYND!F109+KNR!F109+KSRGD!F109+SHS!F109</f>
        <v>0</v>
      </c>
      <c r="G109" s="21"/>
      <c r="H109" s="21">
        <f>TVM!H109+KLM!H109+PTA!H109+ALP!H109+KTM!H109+IDK!H109+EKM!H109+TSR!H109+PLKD!H109+MLPM!H109+KKD!H109+WYND!H109+KNR!H109+KSRGD!H109+SHS!H109</f>
        <v>0</v>
      </c>
      <c r="I109" s="21">
        <f>TVM!I109+KLM!I109+PTA!I109+ALP!I109+KTM!I109+IDK!I109+EKM!I109+TSR!I109+PLKD!I109+MLPM!I109+KKD!I109+WYND!I109+KNR!I109+KSRGD!I109+SHS!I109</f>
        <v>0</v>
      </c>
      <c r="J109" s="21">
        <f>TVM!J109+KLM!J109+PTA!J109+ALP!J109+KTM!J109+IDK!J109+EKM!J109+TSR!J109+PLKD!J109+MLPM!J109+KKD!J109+WYND!J109+KNR!J109+KSRGD!J109+SHS!J109</f>
        <v>0</v>
      </c>
      <c r="K109" s="21"/>
      <c r="L109" s="21">
        <f>TVM!L109+KLM!L109+PTA!L109+ALP!L109+KTM!L109+IDK!L109+EKM!L109+TSR!L109+PLKD!L109+MLPM!L109+KKD!L109+WYND!L109+KNR!L109+KSRGD!L109+SHS!L109</f>
        <v>0</v>
      </c>
      <c r="M109" s="21"/>
      <c r="N109" s="21">
        <f>TVM!N109+KLM!N109+PTA!N109+ALP!N109+KTM!N109+IDK!N109+EKM!N109+TSR!N109+PLKD!N109+MLPM!N109+KKD!N109+WYND!N109+KNR!N109+KSRGD!N109+SHS!N109</f>
        <v>0</v>
      </c>
      <c r="O109" s="21">
        <f>TVM!O109+KLM!O109+PTA!O109+ALP!O109+KTM!O109+IDK!O109+EKM!O109+TSR!O109+PLKD!O109+MLPM!O109+KKD!O109+WYND!O109+KNR!O109+KSRGD!O109+SHS!O109</f>
        <v>0</v>
      </c>
      <c r="P109" s="21">
        <f>TVM!P109+KLM!P109+PTA!P109+ALP!P109+KTM!P109+IDK!P109+EKM!P109+TSR!P109+PLKD!P109+MLPM!P109+KKD!P109+WYND!P109+KNR!P109+KSRGD!P109+SHS!P109</f>
        <v>0</v>
      </c>
      <c r="Q109" s="21"/>
      <c r="R109" s="21">
        <f>TVM!R109+KLM!R109+PTA!R109+ALP!R109+KTM!R109+IDK!R109+EKM!R109+TSR!R109+PLKD!R109+MLPM!R109+KKD!R109+WYND!R109+KNR!R109+KSRGD!R109+SHS!R109</f>
        <v>0</v>
      </c>
      <c r="S109" s="21"/>
      <c r="T109" s="21">
        <f>TVM!T109+KLM!T109+PTA!T109+ALP!T109+KTM!T109+IDK!T109+EKM!T109+TSR!T109+PLKD!T109+MLPM!T109+KKD!T109+WYND!T109+KNR!T109+KSRGD!T109+SHS!T109</f>
        <v>35.750000000000007</v>
      </c>
      <c r="U109" s="21"/>
      <c r="V109" s="21">
        <f>TVM!V109+KLM!V109+PTA!V109+ALP!V109+KTM!V109+IDK!V109+EKM!V109+TSR!V109+PLKD!V109+MLPM!V109+KKD!V109+WYND!V109+KNR!V109+KSRGD!V109+SHS!V109</f>
        <v>0</v>
      </c>
      <c r="W109" s="21"/>
      <c r="X109" s="22">
        <f t="shared" si="4"/>
        <v>35.750000000000007</v>
      </c>
      <c r="Y109" s="46" t="s">
        <v>526</v>
      </c>
    </row>
    <row r="110" spans="1:25" ht="47.25">
      <c r="A110" s="498"/>
      <c r="B110" s="496"/>
      <c r="C110" s="496"/>
      <c r="D110" s="43">
        <v>103</v>
      </c>
      <c r="E110" s="43" t="s">
        <v>44</v>
      </c>
      <c r="F110" s="21">
        <f>TVM!F110+KLM!F110+PTA!F110+ALP!F110+KTM!F110+IDK!F110+EKM!F110+TSR!F110+PLKD!F110+MLPM!F110+KKD!F110+WYND!F110+KNR!F110+KSRGD!F110+SHS!F110</f>
        <v>0</v>
      </c>
      <c r="G110" s="21"/>
      <c r="H110" s="21">
        <f>TVM!H110+KLM!H110+PTA!H110+ALP!H110+KTM!H110+IDK!H110+EKM!H110+TSR!H110+PLKD!H110+MLPM!H110+KKD!H110+WYND!H110+KNR!H110+KSRGD!H110+SHS!H110</f>
        <v>0</v>
      </c>
      <c r="I110" s="21">
        <f>TVM!I110+KLM!I110+PTA!I110+ALP!I110+KTM!I110+IDK!I110+EKM!I110+TSR!I110+PLKD!I110+MLPM!I110+KKD!I110+WYND!I110+KNR!I110+KSRGD!I110+SHS!I110</f>
        <v>0</v>
      </c>
      <c r="J110" s="21">
        <f>TVM!J110+KLM!J110+PTA!J110+ALP!J110+KTM!J110+IDK!J110+EKM!J110+TSR!J110+PLKD!J110+MLPM!J110+KKD!J110+WYND!J110+KNR!J110+KSRGD!J110+SHS!J110</f>
        <v>0</v>
      </c>
      <c r="K110" s="21"/>
      <c r="L110" s="21">
        <f>TVM!L110+KLM!L110+PTA!L110+ALP!L110+KTM!L110+IDK!L110+EKM!L110+TSR!L110+PLKD!L110+MLPM!L110+KKD!L110+WYND!L110+KNR!L110+KSRGD!L110+SHS!L110</f>
        <v>0</v>
      </c>
      <c r="M110" s="21"/>
      <c r="N110" s="21">
        <f>TVM!N110+KLM!N110+PTA!N110+ALP!N110+KTM!N110+IDK!N110+EKM!N110+TSR!N110+PLKD!N110+MLPM!N110+KKD!N110+WYND!N110+KNR!N110+KSRGD!N110+SHS!N110</f>
        <v>0</v>
      </c>
      <c r="O110" s="21">
        <f>TVM!O110+KLM!O110+PTA!O110+ALP!O110+KTM!O110+IDK!O110+EKM!O110+TSR!O110+PLKD!O110+MLPM!O110+KKD!O110+WYND!O110+KNR!O110+KSRGD!O110+SHS!O110</f>
        <v>0</v>
      </c>
      <c r="P110" s="21">
        <f>TVM!P110+KLM!P110+PTA!P110+ALP!P110+KTM!P110+IDK!P110+EKM!P110+TSR!P110+PLKD!P110+MLPM!P110+KKD!P110+WYND!P110+KNR!P110+KSRGD!P110+SHS!P110</f>
        <v>0</v>
      </c>
      <c r="Q110" s="21"/>
      <c r="R110" s="21">
        <f>TVM!R110+KLM!R110+PTA!R110+ALP!R110+KTM!R110+IDK!R110+EKM!R110+TSR!R110+PLKD!R110+MLPM!R110+KKD!R110+WYND!R110+KNR!R110+KSRGD!R110+SHS!R110</f>
        <v>0</v>
      </c>
      <c r="S110" s="21"/>
      <c r="T110" s="48">
        <f>TVM!T110+KLM!T110+PTA!T110+ALP!T110+KTM!T110+IDK!T110+EKM!T110+TSR!T110+PLKD!T110+MLPM!T110+KKD!T110+WYND!T110+KNR!T110+KSRGD!T110+SHS!T110</f>
        <v>0</v>
      </c>
      <c r="U110" s="21"/>
      <c r="V110" s="48">
        <f>TVM!V110+KLM!V110+PTA!V110+ALP!V110+KTM!V110+IDK!V110+EKM!V110+TSR!V110+PLKD!V110+MLPM!V110+KKD!V110+WYND!V110+KNR!V110+KSRGD!V110+SHS!V110</f>
        <v>0</v>
      </c>
      <c r="W110" s="21"/>
      <c r="X110" s="22">
        <f t="shared" si="4"/>
        <v>0</v>
      </c>
      <c r="Y110" s="61"/>
    </row>
    <row r="111" spans="1:25" ht="40.5" customHeight="1">
      <c r="A111" s="498"/>
      <c r="B111" s="497" t="s">
        <v>168</v>
      </c>
      <c r="C111" s="497" t="s">
        <v>169</v>
      </c>
      <c r="D111" s="43">
        <v>104</v>
      </c>
      <c r="E111" s="43" t="s">
        <v>170</v>
      </c>
      <c r="F111" s="21">
        <f>TVM!F111+KLM!F111+PTA!F111+ALP!F111+KTM!F111+IDK!F111+EKM!F111+TSR!F111+PLKD!F111+MLPM!F111+KKD!F111+WYND!F111+KNR!F111+KSRGD!F111+SHS!F111</f>
        <v>0</v>
      </c>
      <c r="G111" s="21"/>
      <c r="H111" s="21">
        <f>TVM!H111+KLM!H111+PTA!H111+ALP!H111+KTM!H111+IDK!H111+EKM!H111+TSR!H111+PLKD!H111+MLPM!H111+KKD!H111+WYND!H111+KNR!H111+KSRGD!H111+SHS!H111</f>
        <v>0</v>
      </c>
      <c r="I111" s="21">
        <f>TVM!I111+KLM!I111+PTA!I111+ALP!I111+KTM!I111+IDK!I111+EKM!I111+TSR!I111+PLKD!I111+MLPM!I111+KKD!I111+WYND!I111+KNR!I111+KSRGD!I111+SHS!I111</f>
        <v>0</v>
      </c>
      <c r="J111" s="21">
        <f>TVM!J111+KLM!J111+PTA!J111+ALP!J111+KTM!J111+IDK!J111+EKM!J111+TSR!J111+PLKD!J111+MLPM!J111+KKD!J111+WYND!J111+KNR!J111+KSRGD!J111+SHS!J111</f>
        <v>0</v>
      </c>
      <c r="K111" s="21"/>
      <c r="L111" s="21">
        <f>TVM!L111+KLM!L111+PTA!L111+ALP!L111+KTM!L111+IDK!L111+EKM!L111+TSR!L111+PLKD!L111+MLPM!L111+KKD!L111+WYND!L111+KNR!L111+KSRGD!L111+SHS!L111</f>
        <v>0</v>
      </c>
      <c r="M111" s="21"/>
      <c r="N111" s="21">
        <f>TVM!N111+KLM!N111+PTA!N111+ALP!N111+KTM!N111+IDK!N111+EKM!N111+TSR!N111+PLKD!N111+MLPM!N111+KKD!N111+WYND!N111+KNR!N111+KSRGD!N111+SHS!N111</f>
        <v>0</v>
      </c>
      <c r="O111" s="21">
        <f>TVM!O111+KLM!O111+PTA!O111+ALP!O111+KTM!O111+IDK!O111+EKM!O111+TSR!O111+PLKD!O111+MLPM!O111+KKD!O111+WYND!O111+KNR!O111+KSRGD!O111+SHS!O111</f>
        <v>0</v>
      </c>
      <c r="P111" s="21">
        <f>TVM!P111+KLM!P111+PTA!P111+ALP!P111+KTM!P111+IDK!P111+EKM!P111+TSR!P111+PLKD!P111+MLPM!P111+KKD!P111+WYND!P111+KNR!P111+KSRGD!P111+SHS!P111</f>
        <v>0</v>
      </c>
      <c r="Q111" s="21"/>
      <c r="R111" s="21">
        <f>TVM!R111+KLM!R111+PTA!R111+ALP!R111+KTM!R111+IDK!R111+EKM!R111+TSR!R111+PLKD!R111+MLPM!R111+KKD!R111+WYND!R111+KNR!R111+KSRGD!R111+SHS!R111</f>
        <v>0</v>
      </c>
      <c r="S111" s="21"/>
      <c r="T111" s="48">
        <f>TVM!T111+KLM!T111+PTA!T111+ALP!T111+KTM!T111+IDK!T111+EKM!T111+TSR!T111+PLKD!T111+MLPM!T111+KKD!T111+WYND!T111+KNR!T111+KSRGD!T111+SHS!T111</f>
        <v>0</v>
      </c>
      <c r="U111" s="21"/>
      <c r="V111" s="48">
        <f>TVM!V111+KLM!V111+PTA!V111+ALP!V111+KTM!V111+IDK!V111+EKM!V111+TSR!V111+PLKD!V111+MLPM!V111+KKD!V111+WYND!V111+KNR!V111+KSRGD!V111+SHS!V111</f>
        <v>0</v>
      </c>
      <c r="W111" s="21"/>
      <c r="X111" s="22">
        <f t="shared" si="4"/>
        <v>0</v>
      </c>
      <c r="Y111" s="61"/>
    </row>
    <row r="112" spans="1:25" ht="120">
      <c r="A112" s="498"/>
      <c r="B112" s="498"/>
      <c r="C112" s="498"/>
      <c r="D112" s="43">
        <v>105</v>
      </c>
      <c r="E112" s="43" t="s">
        <v>171</v>
      </c>
      <c r="F112" s="21">
        <f>TVM!F112+KLM!F112+PTA!F112+ALP!F112+KTM!F112+IDK!F112+EKM!F112+TSR!F112+PLKD!F112+MLPM!F112+KKD!F112+WYND!F112+KNR!F112+KSRGD!F112+SHS!F112</f>
        <v>0</v>
      </c>
      <c r="G112" s="21"/>
      <c r="H112" s="21">
        <f>TVM!H112+KLM!H112+PTA!H112+ALP!H112+KTM!H112+IDK!H112+EKM!H112+TSR!H112+PLKD!H112+MLPM!H112+KKD!H112+WYND!H112+KNR!H112+KSRGD!H112+SHS!H112</f>
        <v>0</v>
      </c>
      <c r="I112" s="21">
        <f>TVM!I112+KLM!I112+PTA!I112+ALP!I112+KTM!I112+IDK!I112+EKM!I112+TSR!I112+PLKD!I112+MLPM!I112+KKD!I112+WYND!I112+KNR!I112+KSRGD!I112+SHS!I112</f>
        <v>0</v>
      </c>
      <c r="J112" s="21">
        <f>TVM!J112+KLM!J112+PTA!J112+ALP!J112+KTM!J112+IDK!J112+EKM!J112+TSR!J112+PLKD!J112+MLPM!J112+KKD!J112+WYND!J112+KNR!J112+KSRGD!J112+SHS!J112</f>
        <v>0</v>
      </c>
      <c r="K112" s="21"/>
      <c r="L112" s="21">
        <f>TVM!L112+KLM!L112+PTA!L112+ALP!L112+KTM!L112+IDK!L112+EKM!L112+TSR!L112+PLKD!L112+MLPM!L112+KKD!L112+WYND!L112+KNR!L112+KSRGD!L112+SHS!L112</f>
        <v>0</v>
      </c>
      <c r="M112" s="21"/>
      <c r="N112" s="21">
        <f>TVM!N112+KLM!N112+PTA!N112+ALP!N112+KTM!N112+IDK!N112+EKM!N112+TSR!N112+PLKD!N112+MLPM!N112+KKD!N112+WYND!N112+KNR!N112+KSRGD!N112+SHS!N112</f>
        <v>0</v>
      </c>
      <c r="O112" s="21">
        <f>TVM!O112+KLM!O112+PTA!O112+ALP!O112+KTM!O112+IDK!O112+EKM!O112+TSR!O112+PLKD!O112+MLPM!O112+KKD!O112+WYND!O112+KNR!O112+KSRGD!O112+SHS!O112</f>
        <v>0</v>
      </c>
      <c r="P112" s="21">
        <f>TVM!P112+KLM!P112+PTA!P112+ALP!P112+KTM!P112+IDK!P112+EKM!P112+TSR!P112+PLKD!P112+MLPM!P112+KKD!P112+WYND!P112+KNR!P112+KSRGD!P112+SHS!P112</f>
        <v>0</v>
      </c>
      <c r="Q112" s="21"/>
      <c r="R112" s="21">
        <f>TVM!R112+KLM!R112+PTA!R112+ALP!R112+KTM!R112+IDK!R112+EKM!R112+TSR!R112+PLKD!R112+MLPM!R112+KKD!R112+WYND!R112+KNR!R112+KSRGD!R112+SHS!R112</f>
        <v>0</v>
      </c>
      <c r="S112" s="21"/>
      <c r="T112" s="22">
        <f>TVM!T112+KLM!T112+PTA!T112+ALP!T112+KTM!T112+IDK!T112+EKM!T112+TSR!T112+PLKD!T112+MLPM!T112+KKD!T112+WYND!T112+KNR!T112+KSRGD!T112+SHS!T112</f>
        <v>28</v>
      </c>
      <c r="U112" s="21"/>
      <c r="V112" s="21">
        <f>TVM!V112+KLM!V112+PTA!V112+ALP!V112+KTM!V112+IDK!V112+EKM!V112+TSR!V112+PLKD!V112+MLPM!V112+KKD!V112+WYND!V112+KNR!V112+KSRGD!V112+SHS!V112</f>
        <v>0</v>
      </c>
      <c r="W112" s="21"/>
      <c r="X112" s="22">
        <f t="shared" si="4"/>
        <v>28</v>
      </c>
      <c r="Y112" s="453" t="s">
        <v>527</v>
      </c>
    </row>
    <row r="113" spans="1:25" ht="94.5">
      <c r="A113" s="498"/>
      <c r="B113" s="496"/>
      <c r="C113" s="496"/>
      <c r="D113" s="43">
        <v>106</v>
      </c>
      <c r="E113" s="43" t="s">
        <v>172</v>
      </c>
      <c r="F113" s="21">
        <f>TVM!F113+KLM!F113+PTA!F113+ALP!F113+KTM!F113+IDK!F113+EKM!F113+TSR!F113+PLKD!F113+MLPM!F113+KKD!F113+WYND!F113+KNR!F113+KSRGD!F113+SHS!F113</f>
        <v>0</v>
      </c>
      <c r="G113" s="21"/>
      <c r="H113" s="21">
        <f>TVM!H113+KLM!H113+PTA!H113+ALP!H113+KTM!H113+IDK!H113+EKM!H113+TSR!H113+PLKD!H113+MLPM!H113+KKD!H113+WYND!H113+KNR!H113+KSRGD!H113+SHS!H113</f>
        <v>0</v>
      </c>
      <c r="I113" s="21">
        <f>TVM!I113+KLM!I113+PTA!I113+ALP!I113+KTM!I113+IDK!I113+EKM!I113+TSR!I113+PLKD!I113+MLPM!I113+KKD!I113+WYND!I113+KNR!I113+KSRGD!I113+SHS!I113</f>
        <v>0</v>
      </c>
      <c r="J113" s="21">
        <f>TVM!J113+KLM!J113+PTA!J113+ALP!J113+KTM!J113+IDK!J113+EKM!J113+TSR!J113+PLKD!J113+MLPM!J113+KKD!J113+WYND!J113+KNR!J113+KSRGD!J113+SHS!J113</f>
        <v>0</v>
      </c>
      <c r="K113" s="21"/>
      <c r="L113" s="22">
        <f>TVM!L113+KLM!L113+PTA!L113+ALP!L113+KTM!L113+IDK!L113+EKM!L113+TSR!L113+PLKD!L113+MLPM!L113+KKD!L113+WYND!L113+KNR!L113+KSRGD!L113+SHS!L113</f>
        <v>23.4</v>
      </c>
      <c r="M113" s="21"/>
      <c r="N113" s="21">
        <f>TVM!N113+KLM!N113+PTA!N113+ALP!N113+KTM!N113+IDK!N113+EKM!N113+TSR!N113+PLKD!N113+MLPM!N113+KKD!N113+WYND!N113+KNR!N113+KSRGD!N113+SHS!N113</f>
        <v>0</v>
      </c>
      <c r="O113" s="22">
        <f>TVM!O113+KLM!O113+PTA!O113+ALP!O113+KTM!O113+IDK!O113+EKM!O113+TSR!O113+PLKD!O113+MLPM!O113+KKD!O113+WYND!O113+KNR!O113+KSRGD!O113+SHS!O113</f>
        <v>27</v>
      </c>
      <c r="P113" s="22">
        <f>TVM!P113+KLM!P113+PTA!P113+ALP!P113+KTM!P113+IDK!P113+EKM!P113+TSR!P113+PLKD!P113+MLPM!P113+KKD!P113+WYND!P113+KNR!P113+KSRGD!P113+SHS!P113</f>
        <v>27</v>
      </c>
      <c r="Q113" s="21"/>
      <c r="R113" s="21">
        <f>TVM!R113+KLM!R113+PTA!R113+ALP!R113+KTM!R113+IDK!R113+EKM!R113+TSR!R113+PLKD!R113+MLPM!R113+KKD!R113+WYND!R113+KNR!R113+KSRGD!R113+SHS!R113</f>
        <v>0</v>
      </c>
      <c r="S113" s="21"/>
      <c r="T113" s="48">
        <f>TVM!T113+KLM!T113+PTA!T113+ALP!T113+KTM!T113+IDK!T113+EKM!T113+TSR!T113+PLKD!T113+MLPM!T113+KKD!T113+WYND!T113+KNR!T113+KSRGD!T113+SHS!T113</f>
        <v>0</v>
      </c>
      <c r="U113" s="21"/>
      <c r="V113" s="21">
        <f>TVM!V113+KLM!V113+PTA!V113+ALP!V113+KTM!V113+IDK!V113+EKM!V113+TSR!V113+PLKD!V113+MLPM!V113+KKD!V113+WYND!V113+KNR!V113+KSRGD!V113+SHS!V113</f>
        <v>0</v>
      </c>
      <c r="W113" s="21"/>
      <c r="X113" s="22">
        <f t="shared" si="4"/>
        <v>50.4</v>
      </c>
      <c r="Y113" s="61" t="s">
        <v>528</v>
      </c>
    </row>
    <row r="114" spans="1:25" ht="131.25" customHeight="1">
      <c r="A114" s="498"/>
      <c r="B114" s="497" t="s">
        <v>173</v>
      </c>
      <c r="C114" s="497" t="s">
        <v>174</v>
      </c>
      <c r="D114" s="43">
        <v>107</v>
      </c>
      <c r="E114" s="43" t="s">
        <v>175</v>
      </c>
      <c r="F114" s="21">
        <f>TVM!F114+KLM!F114+PTA!F114+ALP!F114+KTM!F114+IDK!F114+EKM!F114+TSR!F114+PLKD!F114+MLPM!F114+KKD!F114+WYND!F114+KNR!F114+KSRGD!F114+SHS!F114</f>
        <v>0</v>
      </c>
      <c r="G114" s="21"/>
      <c r="H114" s="21">
        <f>TVM!H114+KLM!H114+PTA!H114+ALP!H114+KTM!H114+IDK!H114+EKM!H114+TSR!H114+PLKD!H114+MLPM!H114+KKD!H114+WYND!H114+KNR!H114+KSRGD!H114+SHS!H114</f>
        <v>0</v>
      </c>
      <c r="I114" s="21">
        <f>TVM!I114+KLM!I114+PTA!I114+ALP!I114+KTM!I114+IDK!I114+EKM!I114+TSR!I114+PLKD!I114+MLPM!I114+KKD!I114+WYND!I114+KNR!I114+KSRGD!I114+SHS!I114</f>
        <v>0</v>
      </c>
      <c r="J114" s="21">
        <f>TVM!J114+KLM!J114+PTA!J114+ALP!J114+KTM!J114+IDK!J114+EKM!J114+TSR!J114+PLKD!J114+MLPM!J114+KKD!J114+WYND!J114+KNR!J114+KSRGD!J114+SHS!J114</f>
        <v>0</v>
      </c>
      <c r="K114" s="21"/>
      <c r="L114" s="22">
        <f>TVM!L114+KLM!L114+PTA!L114+ALP!L114+KTM!L114+IDK!L114+EKM!L114+TSR!L114+PLKD!L114+MLPM!L114+KKD!L114+WYND!L114+KNR!L114+KSRGD!L114+SHS!L114</f>
        <v>54.38</v>
      </c>
      <c r="M114" s="21"/>
      <c r="N114" s="21">
        <f>TVM!N114+KLM!N114+PTA!N114+ALP!N114+KTM!N114+IDK!N114+EKM!N114+TSR!N114+PLKD!N114+MLPM!N114+KKD!N114+WYND!N114+KNR!N114+KSRGD!N114+SHS!N114</f>
        <v>0</v>
      </c>
      <c r="O114" s="22">
        <f>TVM!O114+KLM!O114+PTA!O114+ALP!O114+KTM!O114+IDK!O114+EKM!O114+TSR!O114+PLKD!O114+MLPM!O114+KKD!O114+WYND!O114+KNR!O114+KSRGD!O114+SHS!O114</f>
        <v>1188</v>
      </c>
      <c r="P114" s="22">
        <f>TVM!P114+KLM!P114+PTA!P114+ALP!P114+KTM!P114+IDK!P114+EKM!P114+TSR!P114+PLKD!P114+MLPM!P114+KKD!P114+WYND!P114+KNR!P114+KSRGD!P114+SHS!P114</f>
        <v>1188</v>
      </c>
      <c r="Q114" s="21"/>
      <c r="R114" s="21">
        <f>TVM!R114+KLM!R114+PTA!R114+ALP!R114+KTM!R114+IDK!R114+EKM!R114+TSR!R114+PLKD!R114+MLPM!R114+KKD!R114+WYND!R114+KNR!R114+KSRGD!R114+SHS!R114</f>
        <v>0</v>
      </c>
      <c r="S114" s="21"/>
      <c r="T114" s="48">
        <f>TVM!T114+KLM!T114+PTA!T114+ALP!T114+KTM!T114+IDK!T114+EKM!T114+TSR!T114+PLKD!T114+MLPM!T114+KKD!T114+WYND!T114+KNR!T114+KSRGD!T114+SHS!T114</f>
        <v>0</v>
      </c>
      <c r="U114" s="21"/>
      <c r="V114" s="410">
        <f>TVM!V114+KLM!V114+PTA!V114+ALP!V114+KTM!V114+IDK!V114+EKM!V114+TSR!V114+PLKD!V114+MLPM!V114+KKD!V114+WYND!V114+KNR!V114+KSRGD!V114+SHS!V114</f>
        <v>0</v>
      </c>
      <c r="W114" s="410"/>
      <c r="X114" s="54">
        <f t="shared" si="4"/>
        <v>1242.3800000000001</v>
      </c>
      <c r="Y114" s="452" t="s">
        <v>564</v>
      </c>
    </row>
    <row r="115" spans="1:25" ht="39" customHeight="1">
      <c r="A115" s="498"/>
      <c r="B115" s="498"/>
      <c r="C115" s="498"/>
      <c r="D115" s="43">
        <v>108</v>
      </c>
      <c r="E115" s="43" t="s">
        <v>176</v>
      </c>
      <c r="F115" s="21">
        <f>TVM!F115+KLM!F115+PTA!F115+ALP!F115+KTM!F115+IDK!F115+EKM!F115+TSR!F115+PLKD!F115+MLPM!F115+KKD!F115+WYND!F115+KNR!F115+KSRGD!F115+SHS!F115</f>
        <v>0</v>
      </c>
      <c r="G115" s="21"/>
      <c r="H115" s="21">
        <f>TVM!H115+KLM!H115+PTA!H115+ALP!H115+KTM!H115+IDK!H115+EKM!H115+TSR!H115+PLKD!H115+MLPM!H115+KKD!H115+WYND!H115+KNR!H115+KSRGD!H115+SHS!H115</f>
        <v>0</v>
      </c>
      <c r="I115" s="21">
        <f>TVM!I115+KLM!I115+PTA!I115+ALP!I115+KTM!I115+IDK!I115+EKM!I115+TSR!I115+PLKD!I115+MLPM!I115+KKD!I115+WYND!I115+KNR!I115+KSRGD!I115+SHS!I115</f>
        <v>0</v>
      </c>
      <c r="J115" s="21">
        <f>TVM!J115+KLM!J115+PTA!J115+ALP!J115+KTM!J115+IDK!J115+EKM!J115+TSR!J115+PLKD!J115+MLPM!J115+KKD!J115+WYND!J115+KNR!J115+KSRGD!J115+SHS!J115</f>
        <v>0</v>
      </c>
      <c r="K115" s="21"/>
      <c r="L115" s="22">
        <f>TVM!L115+KLM!L115+PTA!L115+ALP!L115+KTM!L115+IDK!L115+EKM!L115+TSR!L115+PLKD!L115+MLPM!L115+KKD!L115+WYND!L115+KNR!L115+KSRGD!L115+SHS!L115</f>
        <v>0</v>
      </c>
      <c r="M115" s="21"/>
      <c r="N115" s="21">
        <f>TVM!N115+KLM!N115+PTA!N115+ALP!N115+KTM!N115+IDK!N115+EKM!N115+TSR!N115+PLKD!N115+MLPM!N115+KKD!N115+WYND!N115+KNR!N115+KSRGD!N115+SHS!N115</f>
        <v>0</v>
      </c>
      <c r="O115" s="22">
        <f>TVM!O115+KLM!O115+PTA!O115+ALP!O115+KTM!O115+IDK!O115+EKM!O115+TSR!O115+PLKD!O115+MLPM!O115+KKD!O115+WYND!O115+KNR!O115+KSRGD!O115+SHS!O115</f>
        <v>880</v>
      </c>
      <c r="P115" s="22">
        <f>TVM!P115+KLM!P115+PTA!P115+ALP!P115+KTM!P115+IDK!P115+EKM!P115+TSR!P115+PLKD!P115+MLPM!P115+KKD!P115+WYND!P115+KNR!P115+KSRGD!P115+SHS!P115</f>
        <v>880</v>
      </c>
      <c r="Q115" s="21"/>
      <c r="R115" s="21">
        <f>TVM!R115+KLM!R115+PTA!R115+ALP!R115+KTM!R115+IDK!R115+EKM!R115+TSR!R115+PLKD!R115+MLPM!R115+KKD!R115+WYND!R115+KNR!R115+KSRGD!R115+SHS!R115</f>
        <v>0</v>
      </c>
      <c r="S115" s="21"/>
      <c r="T115" s="48">
        <f>TVM!T115+KLM!T115+PTA!T115+ALP!T115+KTM!T115+IDK!T115+EKM!T115+TSR!T115+PLKD!T115+MLPM!T115+KKD!T115+WYND!T115+KNR!T115+KSRGD!T115+SHS!T115</f>
        <v>0</v>
      </c>
      <c r="U115" s="21"/>
      <c r="V115" s="410">
        <f>TVM!V115+KLM!V115+PTA!V115+ALP!V115+KTM!V115+IDK!V115+EKM!V115+TSR!V115+PLKD!V115+MLPM!V115+KKD!V115+WYND!V115+KNR!V115+KSRGD!V115+SHS!V115</f>
        <v>0</v>
      </c>
      <c r="W115" s="410"/>
      <c r="X115" s="54">
        <f t="shared" si="4"/>
        <v>880</v>
      </c>
      <c r="Y115" s="454" t="s">
        <v>529</v>
      </c>
    </row>
    <row r="116" spans="1:25" ht="56.25" customHeight="1">
      <c r="A116" s="498"/>
      <c r="B116" s="498"/>
      <c r="C116" s="498"/>
      <c r="D116" s="43">
        <v>109</v>
      </c>
      <c r="E116" s="43" t="s">
        <v>177</v>
      </c>
      <c r="F116" s="21">
        <f>TVM!F116+KLM!F116+PTA!F116+ALP!F116+KTM!F116+IDK!F116+EKM!F116+TSR!F116+PLKD!F116+MLPM!F116+KKD!F116+WYND!F116+KNR!F116+KSRGD!F116+SHS!F116</f>
        <v>0</v>
      </c>
      <c r="G116" s="21"/>
      <c r="H116" s="21">
        <f>TVM!H116+KLM!H116+PTA!H116+ALP!H116+KTM!H116+IDK!H116+EKM!H116+TSR!H116+PLKD!H116+MLPM!H116+KKD!H116+WYND!H116+KNR!H116+KSRGD!H116+SHS!H116</f>
        <v>0</v>
      </c>
      <c r="I116" s="48">
        <f>TVM!I116+KLM!I116+PTA!I116+ALP!I116+KTM!I116+IDK!I116+EKM!I116+TSR!I116+PLKD!I116+MLPM!I116+KKD!I116+WYND!I116+KNR!I116+KSRGD!I116+SHS!I116</f>
        <v>0</v>
      </c>
      <c r="J116" s="48">
        <f>TVM!J116+KLM!J116+PTA!J116+ALP!J116+KTM!J116+IDK!J116+EKM!J116+TSR!J116+PLKD!J116+MLPM!J116+KKD!J116+WYND!J116+KNR!J116+KSRGD!J116+SHS!J116</f>
        <v>0</v>
      </c>
      <c r="K116" s="21"/>
      <c r="L116" s="22">
        <f>TVM!L116+KLM!L116+PTA!L116+ALP!L116+KTM!L116+IDK!L116+EKM!L116+TSR!L116+PLKD!L116+MLPM!L116+KKD!L116+WYND!L116+KNR!L116+KSRGD!L116+SHS!L116</f>
        <v>14</v>
      </c>
      <c r="M116" s="21"/>
      <c r="N116" s="21">
        <f>TVM!N116+KLM!N116+PTA!N116+ALP!N116+KTM!N116+IDK!N116+EKM!N116+TSR!N116+PLKD!N116+MLPM!N116+KKD!N116+WYND!N116+KNR!N116+KSRGD!N116+SHS!N116</f>
        <v>0</v>
      </c>
      <c r="O116" s="22">
        <f>TVM!O116+KLM!O116+PTA!O116+ALP!O116+KTM!O116+IDK!O116+EKM!O116+TSR!O116+PLKD!O116+MLPM!O116+KKD!O116+WYND!O116+KNR!O116+KSRGD!O116+SHS!O116</f>
        <v>120</v>
      </c>
      <c r="P116" s="22">
        <f>TVM!P116+KLM!P116+PTA!P116+ALP!P116+KTM!P116+IDK!P116+EKM!P116+TSR!P116+PLKD!P116+MLPM!P116+KKD!P116+WYND!P116+KNR!P116+KSRGD!P116+SHS!P116</f>
        <v>120</v>
      </c>
      <c r="Q116" s="21"/>
      <c r="R116" s="21">
        <f>TVM!R116+KLM!R116+PTA!R116+ALP!R116+KTM!R116+IDK!R116+EKM!R116+TSR!R116+PLKD!R116+MLPM!R116+KKD!R116+WYND!R116+KNR!R116+KSRGD!R116+SHS!R116</f>
        <v>0</v>
      </c>
      <c r="S116" s="21"/>
      <c r="T116" s="21">
        <f>TVM!T116+KLM!T116+PTA!T116+ALP!T116+KTM!T116+IDK!T116+EKM!T116+TSR!T116+PLKD!T116+MLPM!T116+KKD!T116+WYND!T116+KNR!T116+KSRGD!T116+SHS!T116</f>
        <v>0</v>
      </c>
      <c r="U116" s="21"/>
      <c r="V116" s="410">
        <f>TVM!V116+KLM!V116+PTA!V116+ALP!V116+KTM!V116+IDK!V116+EKM!V116+TSR!V116+PLKD!V116+MLPM!V116+KKD!V116+WYND!V116+KNR!V116+KSRGD!V116+SHS!V116</f>
        <v>0</v>
      </c>
      <c r="W116" s="410"/>
      <c r="X116" s="54">
        <f t="shared" si="4"/>
        <v>134</v>
      </c>
      <c r="Y116" s="55" t="s">
        <v>567</v>
      </c>
    </row>
    <row r="117" spans="1:25" ht="47.25">
      <c r="A117" s="498"/>
      <c r="B117" s="498"/>
      <c r="C117" s="498"/>
      <c r="D117" s="43">
        <v>110</v>
      </c>
      <c r="E117" s="43" t="s">
        <v>178</v>
      </c>
      <c r="F117" s="21">
        <f>TVM!F117+KLM!F117+PTA!F117+ALP!F117+KTM!F117+IDK!F117+EKM!F117+TSR!F117+PLKD!F117+MLPM!F117+KKD!F117+WYND!F117+KNR!F117+KSRGD!F117+SHS!F117</f>
        <v>0</v>
      </c>
      <c r="G117" s="21"/>
      <c r="H117" s="21">
        <f>TVM!H117+KLM!H117+PTA!H117+ALP!H117+KTM!H117+IDK!H117+EKM!H117+TSR!H117+PLKD!H117+MLPM!H117+KKD!H117+WYND!H117+KNR!H117+KSRGD!H117+SHS!H117</f>
        <v>0</v>
      </c>
      <c r="I117" s="21">
        <f>TVM!I117+KLM!I117+PTA!I117+ALP!I117+KTM!I117+IDK!I117+EKM!I117+TSR!I117+PLKD!I117+MLPM!I117+KKD!I117+WYND!I117+KNR!I117+KSRGD!I117+SHS!I117</f>
        <v>0</v>
      </c>
      <c r="J117" s="21">
        <f>TVM!J117+KLM!J117+PTA!J117+ALP!J117+KTM!J117+IDK!J117+EKM!J117+TSR!J117+PLKD!J117+MLPM!J117+KKD!J117+WYND!J117+KNR!J117+KSRGD!J117+SHS!J117</f>
        <v>0</v>
      </c>
      <c r="K117" s="21"/>
      <c r="L117" s="22">
        <f>TVM!L117+KLM!L117+PTA!L117+ALP!L117+KTM!L117+IDK!L117+EKM!L117+TSR!L117+PLKD!L117+MLPM!L117+KKD!L117+WYND!L117+KNR!L117+KSRGD!L117+SHS!L117</f>
        <v>0</v>
      </c>
      <c r="M117" s="21"/>
      <c r="N117" s="21">
        <f>TVM!N117+KLM!N117+PTA!N117+ALP!N117+KTM!N117+IDK!N117+EKM!N117+TSR!N117+PLKD!N117+MLPM!N117+KKD!N117+WYND!N117+KNR!N117+KSRGD!N117+SHS!N117</f>
        <v>0</v>
      </c>
      <c r="O117" s="22">
        <f>TVM!O117+KLM!O117+PTA!O117+ALP!O117+KTM!O117+IDK!O117+EKM!O117+TSR!O117+PLKD!O117+MLPM!O117+KKD!O117+WYND!O117+KNR!O117+KSRGD!O117+SHS!O117</f>
        <v>1424.35</v>
      </c>
      <c r="P117" s="22">
        <f>TVM!P117+KLM!P117+PTA!P117+ALP!P117+KTM!P117+IDK!P117+EKM!P117+TSR!P117+PLKD!P117+MLPM!P117+KKD!P117+WYND!P117+KNR!P117+KSRGD!P117+SHS!P117</f>
        <v>1424.35</v>
      </c>
      <c r="Q117" s="21"/>
      <c r="R117" s="48">
        <f>TVM!R117+KLM!R117+PTA!R117+ALP!R117+KTM!R117+IDK!R117+EKM!R117+TSR!R117+PLKD!R117+MLPM!R117+KKD!R117+WYND!R117+KNR!R117+KSRGD!R117+SHS!R117</f>
        <v>0</v>
      </c>
      <c r="S117" s="21"/>
      <c r="T117" s="22">
        <f>TVM!T117+KLM!T117+PTA!T117+ALP!T117+KTM!T117+IDK!T117+EKM!T117+TSR!T117+PLKD!T117+MLPM!T117+KKD!T117+WYND!T117+KNR!T117+KSRGD!T117+SHS!T117</f>
        <v>0</v>
      </c>
      <c r="U117" s="21"/>
      <c r="V117" s="410">
        <f>TVM!V117+KLM!V117+PTA!V117+ALP!V117+KTM!V117+IDK!V117+EKM!V117+TSR!V117+PLKD!V117+MLPM!V117+KKD!V117+WYND!V117+KNR!V117+KSRGD!V117+SHS!V117</f>
        <v>0</v>
      </c>
      <c r="W117" s="410"/>
      <c r="X117" s="54">
        <f t="shared" si="4"/>
        <v>1424.35</v>
      </c>
      <c r="Y117" s="55" t="s">
        <v>565</v>
      </c>
    </row>
    <row r="118" spans="1:25" ht="47.25">
      <c r="A118" s="498"/>
      <c r="B118" s="496"/>
      <c r="C118" s="496"/>
      <c r="D118" s="43">
        <v>111</v>
      </c>
      <c r="E118" s="43" t="s">
        <v>44</v>
      </c>
      <c r="F118" s="21">
        <f>TVM!F118+KLM!F118+PTA!F118+ALP!F118+KTM!F118+IDK!F118+EKM!F118+TSR!F118+PLKD!F118+MLPM!F118+KKD!F118+WYND!F118+KNR!F118+KSRGD!F118+SHS!F118</f>
        <v>0</v>
      </c>
      <c r="G118" s="21"/>
      <c r="H118" s="21">
        <f>TVM!H118+KLM!H118+PTA!H118+ALP!H118+KTM!H118+IDK!H118+EKM!H118+TSR!H118+PLKD!H118+MLPM!H118+KKD!H118+WYND!H118+KNR!H118+KSRGD!H118+SHS!H118</f>
        <v>20</v>
      </c>
      <c r="I118" s="21">
        <f>TVM!I118+KLM!I118+PTA!I118+ALP!I118+KTM!I118+IDK!I118+EKM!I118+TSR!I118+PLKD!I118+MLPM!I118+KKD!I118+WYND!I118+KNR!I118+KSRGD!I118+SHS!I118</f>
        <v>0</v>
      </c>
      <c r="J118" s="21">
        <f>TVM!J118+KLM!J118+PTA!J118+ALP!J118+KTM!J118+IDK!J118+EKM!J118+TSR!J118+PLKD!J118+MLPM!J118+KKD!J118+WYND!J118+KNR!J118+KSRGD!J118+SHS!J118</f>
        <v>20</v>
      </c>
      <c r="K118" s="21"/>
      <c r="L118" s="48">
        <f>TVM!L118+KLM!L118+PTA!L118+ALP!L118+KTM!L118+IDK!L118+EKM!L118+TSR!L118+PLKD!L118+MLPM!L118+KKD!L118+WYND!L118+KNR!L118+KSRGD!L118+SHS!L118</f>
        <v>0</v>
      </c>
      <c r="M118" s="21"/>
      <c r="N118" s="21">
        <f>TVM!N118+KLM!N118+PTA!N118+ALP!N118+KTM!N118+IDK!N118+EKM!N118+TSR!N118+PLKD!N118+MLPM!N118+KKD!N118+WYND!N118+KNR!N118+KSRGD!N118+SHS!N118</f>
        <v>0</v>
      </c>
      <c r="O118" s="48">
        <f>TVM!O118+KLM!O118+PTA!O118+ALP!O118+KTM!O118+IDK!O118+EKM!O118+TSR!O118+PLKD!O118+MLPM!O118+KKD!O118+WYND!O118+KNR!O118+KSRGD!O118+SHS!O118</f>
        <v>0</v>
      </c>
      <c r="P118" s="48">
        <f>TVM!P118+KLM!P118+PTA!P118+ALP!P118+KTM!P118+IDK!P118+EKM!P118+TSR!P118+PLKD!P118+MLPM!P118+KKD!P118+WYND!P118+KNR!P118+KSRGD!P118+SHS!P118</f>
        <v>0</v>
      </c>
      <c r="Q118" s="21"/>
      <c r="R118" s="21">
        <f>TVM!R118+KLM!R118+PTA!R118+ALP!R118+KTM!R118+IDK!R118+EKM!R118+TSR!R118+PLKD!R118+MLPM!R118+KKD!R118+WYND!R118+KNR!R118+KSRGD!R118+SHS!R118</f>
        <v>0</v>
      </c>
      <c r="S118" s="21"/>
      <c r="T118" s="48">
        <f>TVM!T118+KLM!T118+PTA!T118+ALP!T118+KTM!T118+IDK!T118+EKM!T118+TSR!T118+PLKD!T118+MLPM!T118+KKD!T118+WYND!T118+KNR!T118+KSRGD!T118+SHS!T118</f>
        <v>0</v>
      </c>
      <c r="U118" s="21"/>
      <c r="V118" s="48">
        <f>TVM!V118+KLM!V118+PTA!V118+ALP!V118+KTM!V118+IDK!V118+EKM!V118+TSR!V118+PLKD!V118+MLPM!V118+KKD!V118+WYND!V118+KNR!V118+KSRGD!V118+SHS!V118</f>
        <v>0</v>
      </c>
      <c r="W118" s="21"/>
      <c r="X118" s="54">
        <f t="shared" si="4"/>
        <v>20</v>
      </c>
      <c r="Y118" s="452" t="s">
        <v>347</v>
      </c>
    </row>
    <row r="119" spans="1:25" ht="94.5">
      <c r="A119" s="498"/>
      <c r="B119" s="497" t="s">
        <v>179</v>
      </c>
      <c r="C119" s="497" t="s">
        <v>180</v>
      </c>
      <c r="D119" s="43">
        <v>112</v>
      </c>
      <c r="E119" s="43" t="s">
        <v>181</v>
      </c>
      <c r="F119" s="21">
        <f>TVM!F119+KLM!F119+PTA!F119+ALP!F119+KTM!F119+IDK!F119+EKM!F119+TSR!F119+PLKD!F119+MLPM!F119+KKD!F119+WYND!F119+KNR!F119+KSRGD!F119+SHS!F119</f>
        <v>0</v>
      </c>
      <c r="G119" s="21"/>
      <c r="H119" s="21">
        <f>TVM!H119+KLM!H119+PTA!H119+ALP!H119+KTM!H119+IDK!H119+EKM!H119+TSR!H119+PLKD!H119+MLPM!H119+KKD!H119+WYND!H119+KNR!H119+KSRGD!H119+SHS!H119</f>
        <v>0</v>
      </c>
      <c r="I119" s="21">
        <f>TVM!I119+KLM!I119+PTA!I119+ALP!I119+KTM!I119+IDK!I119+EKM!I119+TSR!I119+PLKD!I119+MLPM!I119+KKD!I119+WYND!I119+KNR!I119+KSRGD!I119+SHS!I119</f>
        <v>0</v>
      </c>
      <c r="J119" s="21">
        <f>TVM!J119+KLM!J119+PTA!J119+ALP!J119+KTM!J119+IDK!J119+EKM!J119+TSR!J119+PLKD!J119+MLPM!J119+KKD!J119+WYND!J119+KNR!J119+KSRGD!J119+SHS!J119</f>
        <v>0</v>
      </c>
      <c r="K119" s="21"/>
      <c r="L119" s="22">
        <f>TVM!L119+KLM!L119+PTA!L119+ALP!L119+KTM!L119+IDK!L119+EKM!L119+TSR!L119+PLKD!L119+MLPM!L119+KKD!L119+WYND!L119+KNR!L119+KSRGD!L119+SHS!L119</f>
        <v>63.8</v>
      </c>
      <c r="M119" s="21"/>
      <c r="N119" s="21">
        <f>TVM!N119+KLM!N119+PTA!N119+ALP!N119+KTM!N119+IDK!N119+EKM!N119+TSR!N119+PLKD!N119+MLPM!N119+KKD!N119+WYND!N119+KNR!N119+KSRGD!N119+SHS!N119</f>
        <v>0</v>
      </c>
      <c r="O119" s="22">
        <f>TVM!O119+KLM!O119+PTA!O119+ALP!O119+KTM!O119+IDK!O119+EKM!O119+TSR!O119+PLKD!O119+MLPM!O119+KKD!O119+WYND!O119+KNR!O119+KSRGD!O119+SHS!O119</f>
        <v>50</v>
      </c>
      <c r="P119" s="22">
        <f>TVM!P119+KLM!P119+PTA!P119+ALP!P119+KTM!P119+IDK!P119+EKM!P119+TSR!P119+PLKD!P119+MLPM!P119+KKD!P119+WYND!P119+KNR!P119+KSRGD!P119+SHS!P119</f>
        <v>50</v>
      </c>
      <c r="Q119" s="21"/>
      <c r="R119" s="21">
        <f>TVM!R119+KLM!R119+PTA!R119+ALP!R119+KTM!R119+IDK!R119+EKM!R119+TSR!R119+PLKD!R119+MLPM!R119+KKD!R119+WYND!R119+KNR!R119+KSRGD!R119+SHS!R119</f>
        <v>0</v>
      </c>
      <c r="S119" s="21"/>
      <c r="T119" s="21">
        <f>TVM!T119+KLM!T119+PTA!T119+ALP!T119+KTM!T119+IDK!T119+EKM!T119+TSR!T119+PLKD!T119+MLPM!T119+KKD!T119+WYND!T119+KNR!T119+KSRGD!T119+SHS!T119</f>
        <v>0</v>
      </c>
      <c r="U119" s="21"/>
      <c r="V119" s="21">
        <f>TVM!V119+KLM!V119+PTA!V119+ALP!V119+KTM!V119+IDK!V119+EKM!V119+TSR!V119+PLKD!V119+MLPM!V119+KKD!V119+WYND!V119+KNR!V119+KSRGD!V119+SHS!V119</f>
        <v>0</v>
      </c>
      <c r="W119" s="21"/>
      <c r="X119" s="54">
        <f t="shared" si="4"/>
        <v>113.8</v>
      </c>
      <c r="Y119" s="55" t="s">
        <v>566</v>
      </c>
    </row>
    <row r="120" spans="1:25" ht="31.5">
      <c r="A120" s="498"/>
      <c r="B120" s="496"/>
      <c r="C120" s="496"/>
      <c r="D120" s="43">
        <v>113</v>
      </c>
      <c r="E120" s="43" t="s">
        <v>182</v>
      </c>
      <c r="F120" s="21">
        <f>TVM!F120+KLM!F120+PTA!F120+ALP!F120+KTM!F120+IDK!F120+EKM!F120+TSR!F120+PLKD!F120+MLPM!F120+KKD!F120+WYND!F120+KNR!F120+KSRGD!F120+SHS!F120</f>
        <v>0</v>
      </c>
      <c r="G120" s="21"/>
      <c r="H120" s="21">
        <f>TVM!H120+KLM!H120+PTA!H120+ALP!H120+KTM!H120+IDK!H120+EKM!H120+TSR!H120+PLKD!H120+MLPM!H120+KKD!H120+WYND!H120+KNR!H120+KSRGD!H120+SHS!H120</f>
        <v>0</v>
      </c>
      <c r="I120" s="21">
        <f>TVM!I120+KLM!I120+PTA!I120+ALP!I120+KTM!I120+IDK!I120+EKM!I120+TSR!I120+PLKD!I120+MLPM!I120+KKD!I120+WYND!I120+KNR!I120+KSRGD!I120+SHS!I120</f>
        <v>0</v>
      </c>
      <c r="J120" s="21">
        <f>TVM!J120+KLM!J120+PTA!J120+ALP!J120+KTM!J120+IDK!J120+EKM!J120+TSR!J120+PLKD!J120+MLPM!J120+KKD!J120+WYND!J120+KNR!J120+KSRGD!J120+SHS!J120</f>
        <v>0</v>
      </c>
      <c r="K120" s="21"/>
      <c r="L120" s="22">
        <f>TVM!L120+KLM!L120+PTA!L120+ALP!L120+KTM!L120+IDK!L120+EKM!L120+TSR!L120+PLKD!L120+MLPM!L120+KKD!L120+WYND!L120+KNR!L120+KSRGD!L120+SHS!L120</f>
        <v>0</v>
      </c>
      <c r="M120" s="21"/>
      <c r="N120" s="21">
        <f>TVM!N120+KLM!N120+PTA!N120+ALP!N120+KTM!N120+IDK!N120+EKM!N120+TSR!N120+PLKD!N120+MLPM!N120+KKD!N120+WYND!N120+KNR!N120+KSRGD!N120+SHS!N120</f>
        <v>0</v>
      </c>
      <c r="O120" s="22">
        <f>TVM!O120+KLM!O120+PTA!O120+ALP!O120+KTM!O120+IDK!O120+EKM!O120+TSR!O120+PLKD!O120+MLPM!O120+KKD!O120+WYND!O120+KNR!O120+KSRGD!O120+SHS!O120</f>
        <v>0</v>
      </c>
      <c r="P120" s="22">
        <f>TVM!P120+KLM!P120+PTA!P120+ALP!P120+KTM!P120+IDK!P120+EKM!P120+TSR!P120+PLKD!P120+MLPM!P120+KKD!P120+WYND!P120+KNR!P120+KSRGD!P120+SHS!P120</f>
        <v>0</v>
      </c>
      <c r="Q120" s="21"/>
      <c r="R120" s="22">
        <f>TVM!R120+KLM!R120+PTA!R120+ALP!R120+KTM!R120+IDK!R120+EKM!R120+TSR!R120+PLKD!R120+MLPM!R120+KKD!R120+WYND!R120+KNR!R120+KSRGD!R120+SHS!R120</f>
        <v>0</v>
      </c>
      <c r="S120" s="21"/>
      <c r="T120" s="21">
        <f>TVM!T120+KLM!T120+PTA!T120+ALP!T120+KTM!T120+IDK!T120+EKM!T120+TSR!T120+PLKD!T120+MLPM!T120+KKD!T120+WYND!T120+KNR!T120+KSRGD!T120+SHS!T120</f>
        <v>0</v>
      </c>
      <c r="U120" s="21"/>
      <c r="V120" s="21">
        <f>TVM!V120+KLM!V120+PTA!V120+ALP!V120+KTM!V120+IDK!V120+EKM!V120+TSR!V120+PLKD!V120+MLPM!V120+KKD!V120+WYND!V120+KNR!V120+KSRGD!V120+SHS!V120</f>
        <v>0</v>
      </c>
      <c r="W120" s="21"/>
      <c r="X120" s="54">
        <f t="shared" si="4"/>
        <v>0</v>
      </c>
      <c r="Y120" s="452"/>
    </row>
    <row r="121" spans="1:25" ht="252">
      <c r="A121" s="498"/>
      <c r="B121" s="43" t="s">
        <v>183</v>
      </c>
      <c r="C121" s="43" t="s">
        <v>184</v>
      </c>
      <c r="D121" s="43">
        <v>114</v>
      </c>
      <c r="E121" s="43" t="s">
        <v>185</v>
      </c>
      <c r="F121" s="21">
        <f>TVM!F121+KLM!F121+PTA!F121+ALP!F121+KTM!F121+IDK!F121+EKM!F121+TSR!F121+PLKD!F121+MLPM!F121+KKD!F121+WYND!F121+KNR!F121+KSRGD!F121+SHS!F121</f>
        <v>0</v>
      </c>
      <c r="G121" s="21"/>
      <c r="H121" s="21">
        <f>TVM!H121+KLM!H121+PTA!H121+ALP!H121+KTM!H121+IDK!H121+EKM!H121+TSR!H121+PLKD!H121+MLPM!H121+KKD!H121+WYND!H121+KNR!H121+KSRGD!H121+SHS!H121</f>
        <v>0</v>
      </c>
      <c r="I121" s="48">
        <f>TVM!I121+KLM!I121+PTA!I121+ALP!I121+KTM!I121+IDK!I121+EKM!I121+TSR!I121+PLKD!I121+MLPM!I121+KKD!I121+WYND!I121+KNR!I121+KSRGD!I121+SHS!I121</f>
        <v>129</v>
      </c>
      <c r="J121" s="48">
        <f>TVM!J121+KLM!J121+PTA!J121+ALP!J121+KTM!J121+IDK!J121+EKM!J121+TSR!J121+PLKD!J121+MLPM!J121+KKD!J121+WYND!J121+KNR!J121+KSRGD!J121+SHS!J121</f>
        <v>129</v>
      </c>
      <c r="K121" s="21"/>
      <c r="L121" s="21">
        <f>TVM!L121+KLM!L121+PTA!L121+ALP!L121+KTM!L121+IDK!L121+EKM!L121+TSR!L121+PLKD!L121+MLPM!L121+KKD!L121+WYND!L121+KNR!L121+KSRGD!L121+SHS!L121</f>
        <v>8.8000000000000007</v>
      </c>
      <c r="M121" s="21"/>
      <c r="N121" s="21">
        <f>TVM!N121+KLM!N121+PTA!N121+ALP!N121+KTM!N121+IDK!N121+EKM!N121+TSR!N121+PLKD!N121+MLPM!N121+KKD!N121+WYND!N121+KNR!N121+KSRGD!N121+SHS!N121</f>
        <v>0</v>
      </c>
      <c r="O121" s="21">
        <f>TVM!O121+KLM!O121+PTA!O121+ALP!O121+KTM!O121+IDK!O121+EKM!O121+TSR!O121+PLKD!O121+MLPM!O121+KKD!O121+WYND!O121+KNR!O121+KSRGD!O121+SHS!O121</f>
        <v>0</v>
      </c>
      <c r="P121" s="21">
        <f>TVM!P121+KLM!P121+PTA!P121+ALP!P121+KTM!P121+IDK!P121+EKM!P121+TSR!P121+PLKD!P121+MLPM!P121+KKD!P121+WYND!P121+KNR!P121+KSRGD!P121+SHS!P121</f>
        <v>0</v>
      </c>
      <c r="Q121" s="21"/>
      <c r="R121" s="21">
        <f>TVM!R121+KLM!R121+PTA!R121+ALP!R121+KTM!R121+IDK!R121+EKM!R121+TSR!R121+PLKD!R121+MLPM!R121+KKD!R121+WYND!R121+KNR!R121+KSRGD!R121+SHS!R121</f>
        <v>0</v>
      </c>
      <c r="S121" s="21"/>
      <c r="T121" s="21">
        <f>TVM!T121+KLM!T121+PTA!T121+ALP!T121+KTM!T121+IDK!T121+EKM!T121+TSR!T121+PLKD!T121+MLPM!T121+KKD!T121+WYND!T121+KNR!T121+KSRGD!T121+SHS!T121</f>
        <v>46.5</v>
      </c>
      <c r="U121" s="21"/>
      <c r="V121" s="48">
        <f>TVM!V121+KLM!V121+PTA!V121+ALP!V121+KTM!V121+IDK!V121+EKM!V121+TSR!V121+PLKD!V121+MLPM!V121+KKD!V121+WYND!V121+KNR!V121+KSRGD!V121+SHS!V121</f>
        <v>0</v>
      </c>
      <c r="W121" s="21"/>
      <c r="X121" s="54">
        <f t="shared" si="4"/>
        <v>184.3</v>
      </c>
      <c r="Y121" s="452" t="s">
        <v>530</v>
      </c>
    </row>
    <row r="122" spans="1:25" ht="110.25">
      <c r="A122" s="498"/>
      <c r="B122" s="497" t="s">
        <v>186</v>
      </c>
      <c r="C122" s="497" t="s">
        <v>187</v>
      </c>
      <c r="D122" s="43">
        <v>115</v>
      </c>
      <c r="E122" s="43" t="s">
        <v>188</v>
      </c>
      <c r="F122" s="21">
        <f>TVM!F122+KLM!F122+PTA!F122+ALP!F122+KTM!F122+IDK!F122+EKM!F122+TSR!F122+PLKD!F122+MLPM!F122+KKD!F122+WYND!F122+KNR!F122+KSRGD!F122+SHS!F122</f>
        <v>0</v>
      </c>
      <c r="G122" s="21"/>
      <c r="H122" s="21">
        <f>TVM!H122+KLM!H122+PTA!H122+ALP!H122+KTM!H122+IDK!H122+EKM!H122+TSR!H122+PLKD!H122+MLPM!H122+KKD!H122+WYND!H122+KNR!H122+KSRGD!H122+SHS!H122</f>
        <v>0</v>
      </c>
      <c r="I122" s="21">
        <f>TVM!I122+KLM!I122+PTA!I122+ALP!I122+KTM!I122+IDK!I122+EKM!I122+TSR!I122+PLKD!I122+MLPM!I122+KKD!I122+WYND!I122+KNR!I122+KSRGD!I122+SHS!I122</f>
        <v>0</v>
      </c>
      <c r="J122" s="21">
        <f>TVM!J122+KLM!J122+PTA!J122+ALP!J122+KTM!J122+IDK!J122+EKM!J122+TSR!J122+PLKD!J122+MLPM!J122+KKD!J122+WYND!J122+KNR!J122+KSRGD!J122+SHS!J122</f>
        <v>0</v>
      </c>
      <c r="K122" s="21"/>
      <c r="L122" s="21">
        <f>TVM!L122+KLM!L122+PTA!L122+ALP!L122+KTM!L122+IDK!L122+EKM!L122+TSR!L122+PLKD!L122+MLPM!L122+KKD!L122+WYND!L122+KNR!L122+KSRGD!L122+SHS!L122</f>
        <v>78.72</v>
      </c>
      <c r="M122" s="21"/>
      <c r="N122" s="21">
        <f>TVM!N122+KLM!N122+PTA!N122+ALP!N122+KTM!N122+IDK!N122+EKM!N122+TSR!N122+PLKD!N122+MLPM!N122+KKD!N122+WYND!N122+KNR!N122+KSRGD!N122+SHS!N122</f>
        <v>0</v>
      </c>
      <c r="O122" s="21">
        <f>TVM!O122+KLM!O122+PTA!O122+ALP!O122+KTM!O122+IDK!O122+EKM!O122+TSR!O122+PLKD!O122+MLPM!O122+KKD!O122+WYND!O122+KNR!O122+KSRGD!O122+SHS!O122</f>
        <v>0</v>
      </c>
      <c r="P122" s="21">
        <f>TVM!P122+KLM!P122+PTA!P122+ALP!P122+KTM!P122+IDK!P122+EKM!P122+TSR!P122+PLKD!P122+MLPM!P122+KKD!P122+WYND!P122+KNR!P122+KSRGD!P122+SHS!P122</f>
        <v>0</v>
      </c>
      <c r="Q122" s="21"/>
      <c r="R122" s="22">
        <f>TVM!R122+KLM!R122+PTA!R122+ALP!R122+KTM!R122+IDK!R122+EKM!R122+TSR!R122+PLKD!R122+MLPM!R122+KKD!R122+WYND!R122+KNR!R122+KSRGD!R122+SHS!R122</f>
        <v>0</v>
      </c>
      <c r="S122" s="21"/>
      <c r="T122" s="22">
        <f>TVM!T122+KLM!T122+PTA!T122+ALP!T122+KTM!T122+IDK!T122+EKM!T122+TSR!T122+PLKD!T122+MLPM!T122+KKD!T122+WYND!T122+KNR!T122+KSRGD!T122+SHS!T122</f>
        <v>21</v>
      </c>
      <c r="U122" s="21"/>
      <c r="V122" s="21">
        <f>TVM!V122+KLM!V122+PTA!V122+ALP!V122+KTM!V122+IDK!V122+EKM!V122+TSR!V122+PLKD!V122+MLPM!V122+KKD!V122+WYND!V122+KNR!V122+KSRGD!V122+SHS!V122</f>
        <v>0</v>
      </c>
      <c r="W122" s="21"/>
      <c r="X122" s="54">
        <f t="shared" si="4"/>
        <v>99.72</v>
      </c>
      <c r="Y122" s="452" t="s">
        <v>589</v>
      </c>
    </row>
    <row r="123" spans="1:25" ht="94.5">
      <c r="A123" s="498"/>
      <c r="B123" s="498"/>
      <c r="C123" s="498"/>
      <c r="D123" s="43">
        <v>116</v>
      </c>
      <c r="E123" s="43" t="s">
        <v>189</v>
      </c>
      <c r="F123" s="21">
        <f>TVM!F123+KLM!F123+PTA!F123+ALP!F123+KTM!F123+IDK!F123+EKM!F123+TSR!F123+PLKD!F123+MLPM!F123+KKD!F123+WYND!F123+KNR!F123+KSRGD!F123+SHS!F123</f>
        <v>0</v>
      </c>
      <c r="G123" s="21"/>
      <c r="H123" s="21">
        <f>TVM!H123+KLM!H123+PTA!H123+ALP!H123+KTM!H123+IDK!H123+EKM!H123+TSR!H123+PLKD!H123+MLPM!H123+KKD!H123+WYND!H123+KNR!H123+KSRGD!H123+SHS!H123</f>
        <v>0</v>
      </c>
      <c r="I123" s="21">
        <f>TVM!I123+KLM!I123+PTA!I123+ALP!I123+KTM!I123+IDK!I123+EKM!I123+TSR!I123+PLKD!I123+MLPM!I123+KKD!I123+WYND!I123+KNR!I123+KSRGD!I123+SHS!I123</f>
        <v>0</v>
      </c>
      <c r="J123" s="21">
        <f>TVM!J123+KLM!J123+PTA!J123+ALP!J123+KTM!J123+IDK!J123+EKM!J123+TSR!J123+PLKD!J123+MLPM!J123+KKD!J123+WYND!J123+KNR!J123+KSRGD!J123+SHS!J123</f>
        <v>0</v>
      </c>
      <c r="K123" s="21"/>
      <c r="L123" s="21">
        <f>TVM!L123+KLM!L123+PTA!L123+ALP!L123+KTM!L123+IDK!L123+EKM!L123+TSR!L123+PLKD!L123+MLPM!L123+KKD!L123+WYND!L123+KNR!L123+KSRGD!L123+SHS!L123</f>
        <v>0</v>
      </c>
      <c r="M123" s="21"/>
      <c r="N123" s="21">
        <f>TVM!N123+KLM!N123+PTA!N123+ALP!N123+KTM!N123+IDK!N123+EKM!N123+TSR!N123+PLKD!N123+MLPM!N123+KKD!N123+WYND!N123+KNR!N123+KSRGD!N123+SHS!N123</f>
        <v>0</v>
      </c>
      <c r="O123" s="21">
        <f>TVM!O123+KLM!O123+PTA!O123+ALP!O123+KTM!O123+IDK!O123+EKM!O123+TSR!O123+PLKD!O123+MLPM!O123+KKD!O123+WYND!O123+KNR!O123+KSRGD!O123+SHS!O123</f>
        <v>0</v>
      </c>
      <c r="P123" s="21">
        <f>TVM!P123+KLM!P123+PTA!P123+ALP!P123+KTM!P123+IDK!P123+EKM!P123+TSR!P123+PLKD!P123+MLPM!P123+KKD!P123+WYND!P123+KNR!P123+KSRGD!P123+SHS!P123</f>
        <v>0</v>
      </c>
      <c r="Q123" s="21"/>
      <c r="R123" s="22">
        <f>TVM!R123+KLM!R123+PTA!R123+ALP!R123+KTM!R123+IDK!R123+EKM!R123+TSR!R123+PLKD!R123+MLPM!R123+KKD!R123+WYND!R123+KNR!R123+KSRGD!R123+SHS!R123</f>
        <v>242.11</v>
      </c>
      <c r="S123" s="21"/>
      <c r="T123" s="22">
        <f>TVM!T123+KLM!T123+PTA!T123+ALP!T123+KTM!T123+IDK!T123+EKM!T123+TSR!T123+PLKD!T123+MLPM!T123+KKD!T123+WYND!T123+KNR!T123+KSRGD!T123+SHS!T123</f>
        <v>0</v>
      </c>
      <c r="U123" s="21"/>
      <c r="V123" s="21">
        <f>TVM!V123+KLM!V123+PTA!V123+ALP!V123+KTM!V123+IDK!V123+EKM!V123+TSR!V123+PLKD!V123+MLPM!V123+KKD!V123+WYND!V123+KNR!V123+KSRGD!V123+SHS!V123</f>
        <v>0</v>
      </c>
      <c r="W123" s="21"/>
      <c r="X123" s="54">
        <f t="shared" si="4"/>
        <v>242.11</v>
      </c>
      <c r="Y123" s="452" t="s">
        <v>531</v>
      </c>
    </row>
    <row r="124" spans="1:25" ht="33" customHeight="1">
      <c r="A124" s="498"/>
      <c r="B124" s="498"/>
      <c r="C124" s="498"/>
      <c r="D124" s="43">
        <v>117</v>
      </c>
      <c r="E124" s="43" t="s">
        <v>190</v>
      </c>
      <c r="F124" s="21">
        <f>TVM!F124+KLM!F124+PTA!F124+ALP!F124+KTM!F124+IDK!F124+EKM!F124+TSR!F124+PLKD!F124+MLPM!F124+KKD!F124+WYND!F124+KNR!F124+KSRGD!F124+SHS!F124</f>
        <v>0</v>
      </c>
      <c r="G124" s="21"/>
      <c r="H124" s="21">
        <f>TVM!H124+KLM!H124+PTA!H124+ALP!H124+KTM!H124+IDK!H124+EKM!H124+TSR!H124+PLKD!H124+MLPM!H124+KKD!H124+WYND!H124+KNR!H124+KSRGD!H124+SHS!H124</f>
        <v>0</v>
      </c>
      <c r="I124" s="21">
        <f>TVM!I124+KLM!I124+PTA!I124+ALP!I124+KTM!I124+IDK!I124+EKM!I124+TSR!I124+PLKD!I124+MLPM!I124+KKD!I124+WYND!I124+KNR!I124+KSRGD!I124+SHS!I124</f>
        <v>0</v>
      </c>
      <c r="J124" s="21">
        <f>TVM!J124+KLM!J124+PTA!J124+ALP!J124+KTM!J124+IDK!J124+EKM!J124+TSR!J124+PLKD!J124+MLPM!J124+KKD!J124+WYND!J124+KNR!J124+KSRGD!J124+SHS!J124</f>
        <v>0</v>
      </c>
      <c r="K124" s="21"/>
      <c r="L124" s="21">
        <f>TVM!L124+KLM!L124+PTA!L124+ALP!L124+KTM!L124+IDK!L124+EKM!L124+TSR!L124+PLKD!L124+MLPM!L124+KKD!L124+WYND!L124+KNR!L124+KSRGD!L124+SHS!L124</f>
        <v>0</v>
      </c>
      <c r="M124" s="21"/>
      <c r="N124" s="21">
        <f>TVM!N124+KLM!N124+PTA!N124+ALP!N124+KTM!N124+IDK!N124+EKM!N124+TSR!N124+PLKD!N124+MLPM!N124+KKD!N124+WYND!N124+KNR!N124+KSRGD!N124+SHS!N124</f>
        <v>0</v>
      </c>
      <c r="O124" s="21">
        <f>TVM!O124+KLM!O124+PTA!O124+ALP!O124+KTM!O124+IDK!O124+EKM!O124+TSR!O124+PLKD!O124+MLPM!O124+KKD!O124+WYND!O124+KNR!O124+KSRGD!O124+SHS!O124</f>
        <v>0</v>
      </c>
      <c r="P124" s="21">
        <f>TVM!P124+KLM!P124+PTA!P124+ALP!P124+KTM!P124+IDK!P124+EKM!P124+TSR!P124+PLKD!P124+MLPM!P124+KKD!P124+WYND!P124+KNR!P124+KSRGD!P124+SHS!P124</f>
        <v>0</v>
      </c>
      <c r="Q124" s="21"/>
      <c r="R124" s="22">
        <f>TVM!R124+KLM!R124+PTA!R124+ALP!R124+KTM!R124+IDK!R124+EKM!R124+TSR!R124+PLKD!R124+MLPM!R124+KKD!R124+WYND!R124+KNR!R124+KSRGD!R124+SHS!R124</f>
        <v>0</v>
      </c>
      <c r="S124" s="21"/>
      <c r="T124" s="21">
        <f>TVM!T124+KLM!T124+PTA!T124+ALP!T124+KTM!T124+IDK!T124+EKM!T124+TSR!T124+PLKD!T124+MLPM!T124+KKD!T124+WYND!T124+KNR!T124+KSRGD!T124+SHS!T124</f>
        <v>0</v>
      </c>
      <c r="U124" s="21"/>
      <c r="V124" s="21">
        <f>TVM!V124+KLM!V124+PTA!V124+ALP!V124+KTM!V124+IDK!V124+EKM!V124+TSR!V124+PLKD!V124+MLPM!V124+KKD!V124+WYND!V124+KNR!V124+KSRGD!V124+SHS!V124</f>
        <v>0</v>
      </c>
      <c r="W124" s="21"/>
      <c r="X124" s="22">
        <f t="shared" si="4"/>
        <v>0</v>
      </c>
      <c r="Y124" s="46"/>
    </row>
    <row r="125" spans="1:25" ht="47.25">
      <c r="A125" s="498"/>
      <c r="B125" s="496"/>
      <c r="C125" s="496"/>
      <c r="D125" s="43">
        <v>118</v>
      </c>
      <c r="E125" s="43" t="s">
        <v>44</v>
      </c>
      <c r="F125" s="21">
        <f>TVM!F125+KLM!F125+PTA!F125+ALP!F125+KTM!F125+IDK!F125+EKM!F125+TSR!F125+PLKD!F125+MLPM!F125+KKD!F125+WYND!F125+KNR!F125+KSRGD!F125+SHS!F125</f>
        <v>0</v>
      </c>
      <c r="G125" s="21"/>
      <c r="H125" s="21">
        <f>TVM!H125+KLM!H125+PTA!H125+ALP!H125+KTM!H125+IDK!H125+EKM!H125+TSR!H125+PLKD!H125+MLPM!H125+KKD!H125+WYND!H125+KNR!H125+KSRGD!H125+SHS!H125</f>
        <v>0</v>
      </c>
      <c r="I125" s="21">
        <f>TVM!I125+KLM!I125+PTA!I125+ALP!I125+KTM!I125+IDK!I125+EKM!I125+TSR!I125+PLKD!I125+MLPM!I125+KKD!I125+WYND!I125+KNR!I125+KSRGD!I125+SHS!I125</f>
        <v>0</v>
      </c>
      <c r="J125" s="21">
        <f>TVM!J125+KLM!J125+PTA!J125+ALP!J125+KTM!J125+IDK!J125+EKM!J125+TSR!J125+PLKD!J125+MLPM!J125+KKD!J125+WYND!J125+KNR!J125+KSRGD!J125+SHS!J125</f>
        <v>0</v>
      </c>
      <c r="K125" s="21"/>
      <c r="L125" s="21">
        <f>TVM!L125+KLM!L125+PTA!L125+ALP!L125+KTM!L125+IDK!L125+EKM!L125+TSR!L125+PLKD!L125+MLPM!L125+KKD!L125+WYND!L125+KNR!L125+KSRGD!L125+SHS!L125</f>
        <v>0</v>
      </c>
      <c r="M125" s="21"/>
      <c r="N125" s="21">
        <f>TVM!N125+KLM!N125+PTA!N125+ALP!N125+KTM!N125+IDK!N125+EKM!N125+TSR!N125+PLKD!N125+MLPM!N125+KKD!N125+WYND!N125+KNR!N125+KSRGD!N125+SHS!N125</f>
        <v>0</v>
      </c>
      <c r="O125" s="21">
        <f>TVM!O125+KLM!O125+PTA!O125+ALP!O125+KTM!O125+IDK!O125+EKM!O125+TSR!O125+PLKD!O125+MLPM!O125+KKD!O125+WYND!O125+KNR!O125+KSRGD!O125+SHS!O125</f>
        <v>0</v>
      </c>
      <c r="P125" s="21">
        <f>TVM!P125+KLM!P125+PTA!P125+ALP!P125+KTM!P125+IDK!P125+EKM!P125+TSR!P125+PLKD!P125+MLPM!P125+KKD!P125+WYND!P125+KNR!P125+KSRGD!P125+SHS!P125</f>
        <v>0</v>
      </c>
      <c r="Q125" s="21"/>
      <c r="R125" s="21">
        <f>TVM!R125+KLM!R125+PTA!R125+ALP!R125+KTM!R125+IDK!R125+EKM!R125+TSR!R125+PLKD!R125+MLPM!R125+KKD!R125+WYND!R125+KNR!R125+KSRGD!R125+SHS!R125</f>
        <v>0</v>
      </c>
      <c r="S125" s="21"/>
      <c r="T125" s="21">
        <f>TVM!T125+KLM!T125+PTA!T125+ALP!T125+KTM!T125+IDK!T125+EKM!T125+TSR!T125+PLKD!T125+MLPM!T125+KKD!T125+WYND!T125+KNR!T125+KSRGD!T125+SHS!T125</f>
        <v>0</v>
      </c>
      <c r="U125" s="21"/>
      <c r="V125" s="21">
        <f>TVM!V125+KLM!V125+PTA!V125+ALP!V125+KTM!V125+IDK!V125+EKM!V125+TSR!V125+PLKD!V125+MLPM!V125+KKD!V125+WYND!V125+KNR!V125+KSRGD!V125+SHS!V125</f>
        <v>0</v>
      </c>
      <c r="W125" s="21"/>
      <c r="X125" s="22">
        <f t="shared" si="4"/>
        <v>0</v>
      </c>
      <c r="Y125" s="46"/>
    </row>
    <row r="126" spans="1:25" ht="157.5">
      <c r="A126" s="498"/>
      <c r="B126" s="43" t="s">
        <v>191</v>
      </c>
      <c r="C126" s="43" t="s">
        <v>192</v>
      </c>
      <c r="D126" s="43">
        <v>119</v>
      </c>
      <c r="E126" s="43" t="s">
        <v>193</v>
      </c>
      <c r="F126" s="21">
        <f>TVM!F126+KLM!F126+PTA!F126+ALP!F126+KTM!F126+IDK!F126+EKM!F126+TSR!F126+PLKD!F126+MLPM!F126+KKD!F126+WYND!F126+KNR!F126+KSRGD!F126+SHS!F126</f>
        <v>0</v>
      </c>
      <c r="G126" s="21"/>
      <c r="H126" s="21">
        <f>TVM!H126+KLM!H126+PTA!H126+ALP!H126+KTM!H126+IDK!H126+EKM!H126+TSR!H126+PLKD!H126+MLPM!H126+KKD!H126+WYND!H126+KNR!H126+KSRGD!H126+SHS!H126</f>
        <v>0</v>
      </c>
      <c r="I126" s="48">
        <f>TVM!I126+KLM!I126+PTA!I126+ALP!I126+KTM!I126+IDK!I126+EKM!I126+TSR!I126+PLKD!I126+MLPM!I126+KKD!I126+WYND!I126+KNR!I126+KSRGD!I126+SHS!I126</f>
        <v>0</v>
      </c>
      <c r="J126" s="48">
        <f>TVM!J126+KLM!J126+PTA!J126+ALP!J126+KTM!J126+IDK!J126+EKM!J126+TSR!J126+PLKD!J126+MLPM!J126+KKD!J126+WYND!J126+KNR!J126+KSRGD!J126+SHS!J126</f>
        <v>0</v>
      </c>
      <c r="K126" s="21"/>
      <c r="L126" s="22">
        <f>TVM!L126+KLM!L126+PTA!L126+ALP!L126+KTM!L126+IDK!L126+EKM!L126+TSR!L126+PLKD!L126+MLPM!L126+KKD!L126+WYND!L126+KNR!L126+KSRGD!L126+SHS!L126</f>
        <v>0</v>
      </c>
      <c r="M126" s="21"/>
      <c r="N126" s="21">
        <f>TVM!N126+KLM!N126+PTA!N126+ALP!N126+KTM!N126+IDK!N126+EKM!N126+TSR!N126+PLKD!N126+MLPM!N126+KKD!N126+WYND!N126+KNR!N126+KSRGD!N126+SHS!N126</f>
        <v>0</v>
      </c>
      <c r="O126" s="21">
        <f>TVM!O126+KLM!O126+PTA!O126+ALP!O126+KTM!O126+IDK!O126+EKM!O126+TSR!O126+PLKD!O126+MLPM!O126+KKD!O126+WYND!O126+KNR!O126+KSRGD!O126+SHS!O126</f>
        <v>0</v>
      </c>
      <c r="P126" s="21">
        <f>TVM!P126+KLM!P126+PTA!P126+ALP!P126+KTM!P126+IDK!P126+EKM!P126+TSR!P126+PLKD!P126+MLPM!P126+KKD!P126+WYND!P126+KNR!P126+KSRGD!P126+SHS!P126</f>
        <v>0</v>
      </c>
      <c r="Q126" s="21"/>
      <c r="R126" s="21">
        <f>TVM!R126+KLM!R126+PTA!R126+ALP!R126+KTM!R126+IDK!R126+EKM!R126+TSR!R126+PLKD!R126+MLPM!R126+KKD!R126+WYND!R126+KNR!R126+KSRGD!R126+SHS!R126</f>
        <v>0</v>
      </c>
      <c r="S126" s="21"/>
      <c r="T126" s="48">
        <f>TVM!T126+KLM!T126+PTA!T126+ALP!T126+KTM!T126+IDK!T126+EKM!T126+TSR!T126+PLKD!T126+MLPM!T126+KKD!T126+WYND!T126+KNR!T126+KSRGD!T126+SHS!T126</f>
        <v>70</v>
      </c>
      <c r="U126" s="21"/>
      <c r="V126" s="21">
        <f>TVM!V126+KLM!V126+PTA!V126+ALP!V126+KTM!V126+IDK!V126+EKM!V126+TSR!V126+PLKD!V126+MLPM!V126+KKD!V126+WYND!V126+KNR!V126+KSRGD!V126+SHS!V126</f>
        <v>0</v>
      </c>
      <c r="W126" s="21"/>
      <c r="X126" s="22">
        <f t="shared" si="4"/>
        <v>70</v>
      </c>
      <c r="Y126" s="61" t="s">
        <v>532</v>
      </c>
    </row>
    <row r="127" spans="1:25" ht="252">
      <c r="A127" s="498"/>
      <c r="B127" s="43" t="s">
        <v>194</v>
      </c>
      <c r="C127" s="43" t="s">
        <v>195</v>
      </c>
      <c r="D127" s="43">
        <v>120</v>
      </c>
      <c r="E127" s="43" t="s">
        <v>196</v>
      </c>
      <c r="F127" s="21">
        <f>TVM!F127+KLM!F127+PTA!F127+ALP!F127+KTM!F127+IDK!F127+EKM!F127+TSR!F127+PLKD!F127+MLPM!F127+KKD!F127+WYND!F127+KNR!F127+KSRGD!F127+SHS!F127</f>
        <v>0</v>
      </c>
      <c r="G127" s="21"/>
      <c r="H127" s="21">
        <f>TVM!H127+KLM!H127+PTA!H127+ALP!H127+KTM!H127+IDK!H127+EKM!H127+TSR!H127+PLKD!H127+MLPM!H127+KKD!H127+WYND!H127+KNR!H127+KSRGD!H127+SHS!H127</f>
        <v>0</v>
      </c>
      <c r="I127" s="21">
        <f>TVM!I127+KLM!I127+PTA!I127+ALP!I127+KTM!I127+IDK!I127+EKM!I127+TSR!I127+PLKD!I127+MLPM!I127+KKD!I127+WYND!I127+KNR!I127+KSRGD!I127+SHS!I127</f>
        <v>0</v>
      </c>
      <c r="J127" s="21">
        <f>TVM!J127+KLM!J127+PTA!J127+ALP!J127+KTM!J127+IDK!J127+EKM!J127+TSR!J127+PLKD!J127+MLPM!J127+KKD!J127+WYND!J127+KNR!J127+KSRGD!J127+SHS!J127</f>
        <v>0</v>
      </c>
      <c r="K127" s="21"/>
      <c r="L127" s="21">
        <f>TVM!L127+KLM!L127+PTA!L127+ALP!L127+KTM!L127+IDK!L127+EKM!L127+TSR!L127+PLKD!L127+MLPM!L127+KKD!L127+WYND!L127+KNR!L127+KSRGD!L127+SHS!L127</f>
        <v>0</v>
      </c>
      <c r="M127" s="21"/>
      <c r="N127" s="21">
        <f>TVM!N127+KLM!N127+PTA!N127+ALP!N127+KTM!N127+IDK!N127+EKM!N127+TSR!N127+PLKD!N127+MLPM!N127+KKD!N127+WYND!N127+KNR!N127+KSRGD!N127+SHS!N127</f>
        <v>0</v>
      </c>
      <c r="O127" s="48">
        <f>TVM!O127+KLM!O127+PTA!O127+ALP!O127+KTM!O127+IDK!O127+EKM!O127+TSR!O127+PLKD!O127+MLPM!O127+KKD!O127+WYND!O127+KNR!O127+KSRGD!O127+SHS!O127</f>
        <v>0</v>
      </c>
      <c r="P127" s="48">
        <f>TVM!P127+KLM!P127+PTA!P127+ALP!P127+KTM!P127+IDK!P127+EKM!P127+TSR!P127+PLKD!P127+MLPM!P127+KKD!P127+WYND!P127+KNR!P127+KSRGD!P127+SHS!P127</f>
        <v>0</v>
      </c>
      <c r="Q127" s="21"/>
      <c r="R127" s="48">
        <f>TVM!R127+KLM!R127+PTA!R127+ALP!R127+KTM!R127+IDK!R127+EKM!R127+TSR!R127+PLKD!R127+MLPM!R127+KKD!R127+WYND!R127+KNR!R127+KSRGD!R127+SHS!R127</f>
        <v>3.36</v>
      </c>
      <c r="S127" s="21"/>
      <c r="T127" s="48">
        <f>TVM!T127+KLM!T127+PTA!T127+ALP!T127+KTM!T127+IDK!T127+EKM!T127+TSR!T127+PLKD!T127+MLPM!T127+KKD!T127+WYND!T127+KNR!T127+KSRGD!T127+SHS!T127</f>
        <v>0</v>
      </c>
      <c r="U127" s="21"/>
      <c r="V127" s="21">
        <f>TVM!V127+KLM!V127+PTA!V127+ALP!V127+KTM!V127+IDK!V127+EKM!V127+TSR!V127+PLKD!V127+MLPM!V127+KKD!V127+WYND!V127+KNR!V127+KSRGD!V127+SHS!V127</f>
        <v>0</v>
      </c>
      <c r="W127" s="21"/>
      <c r="X127" s="22">
        <f t="shared" si="4"/>
        <v>3.36</v>
      </c>
      <c r="Y127" s="46" t="s">
        <v>533</v>
      </c>
    </row>
    <row r="128" spans="1:25" ht="136.5" customHeight="1">
      <c r="A128" s="498"/>
      <c r="B128" s="497" t="s">
        <v>197</v>
      </c>
      <c r="C128" s="497" t="s">
        <v>198</v>
      </c>
      <c r="D128" s="43">
        <v>121</v>
      </c>
      <c r="E128" s="43" t="s">
        <v>199</v>
      </c>
      <c r="F128" s="21">
        <f>TVM!F128+KLM!F128+PTA!F128+ALP!F128+KTM!F128+IDK!F128+EKM!F128+TSR!F128+PLKD!F128+MLPM!F128+KKD!F128+WYND!F128+KNR!F128+KSRGD!F128+SHS!F128</f>
        <v>0</v>
      </c>
      <c r="G128" s="21"/>
      <c r="H128" s="21">
        <f>TVM!H128+KLM!H128+PTA!H128+ALP!H128+KTM!H128+IDK!H128+EKM!H128+TSR!H128+PLKD!H128+MLPM!H128+KKD!H128+WYND!H128+KNR!H128+KSRGD!H128+SHS!H128</f>
        <v>0</v>
      </c>
      <c r="I128" s="21">
        <f>TVM!I128+KLM!I128+PTA!I128+ALP!I128+KTM!I128+IDK!I128+EKM!I128+TSR!I128+PLKD!I128+MLPM!I128+KKD!I128+WYND!I128+KNR!I128+KSRGD!I128+SHS!I128</f>
        <v>0</v>
      </c>
      <c r="J128" s="21">
        <f>TVM!J128+KLM!J128+PTA!J128+ALP!J128+KTM!J128+IDK!J128+EKM!J128+TSR!J128+PLKD!J128+MLPM!J128+KKD!J128+WYND!J128+KNR!J128+KSRGD!J128+SHS!J128</f>
        <v>0</v>
      </c>
      <c r="K128" s="21"/>
      <c r="L128" s="22">
        <f>TVM!L128+KLM!L128+PTA!L128+ALP!L128+KTM!L128+IDK!L128+EKM!L128+TSR!L128+PLKD!L128+MLPM!L128+KKD!L128+WYND!L128+KNR!L128+KSRGD!L128+SHS!L128</f>
        <v>194.35</v>
      </c>
      <c r="M128" s="52" t="s">
        <v>534</v>
      </c>
      <c r="N128" s="21">
        <f>TVM!N128+KLM!N128+PTA!N128+ALP!N128+KTM!N128+IDK!N128+EKM!N128+TSR!N128+PLKD!N128+MLPM!N128+KKD!N128+WYND!N128+KNR!N128+KSRGD!N128+SHS!N128</f>
        <v>0</v>
      </c>
      <c r="O128" s="21">
        <f>TVM!O128+KLM!O128+PTA!O128+ALP!O128+KTM!O128+IDK!O128+EKM!O128+TSR!O128+PLKD!O128+MLPM!O128+KKD!O128+WYND!O128+KNR!O128+KSRGD!O128+SHS!O128</f>
        <v>0</v>
      </c>
      <c r="P128" s="21">
        <f>TVM!P128+KLM!P128+PTA!P128+ALP!P128+KTM!P128+IDK!P128+EKM!P128+TSR!P128+PLKD!P128+MLPM!P128+KKD!P128+WYND!P128+KNR!P128+KSRGD!P128+SHS!P128</f>
        <v>0</v>
      </c>
      <c r="Q128" s="21"/>
      <c r="R128" s="21">
        <f>TVM!R128+KLM!R128+PTA!R128+ALP!R128+KTM!R128+IDK!R128+EKM!R128+TSR!R128+PLKD!R128+MLPM!R128+KKD!R128+WYND!R128+KNR!R128+KSRGD!R128+SHS!R128</f>
        <v>0</v>
      </c>
      <c r="S128" s="21"/>
      <c r="T128" s="21">
        <f>TVM!T128+KLM!T128+PTA!T128+ALP!T128+KTM!T128+IDK!T128+EKM!T128+TSR!T128+PLKD!T128+MLPM!T128+KKD!T128+WYND!T128+KNR!T128+KSRGD!T128+SHS!T128</f>
        <v>0</v>
      </c>
      <c r="U128" s="21"/>
      <c r="V128" s="21">
        <f>TVM!V128+KLM!V128+PTA!V128+ALP!V128+KTM!V128+IDK!V128+EKM!V128+TSR!V128+PLKD!V128+MLPM!V128+KKD!V128+WYND!V128+KNR!V128+KSRGD!V128+SHS!V128</f>
        <v>0</v>
      </c>
      <c r="W128" s="21"/>
      <c r="X128" s="22">
        <f t="shared" si="4"/>
        <v>194.35</v>
      </c>
      <c r="Y128" s="61"/>
    </row>
    <row r="129" spans="1:25" ht="31.5">
      <c r="A129" s="498"/>
      <c r="B129" s="498"/>
      <c r="C129" s="498"/>
      <c r="D129" s="43">
        <v>122</v>
      </c>
      <c r="E129" s="43" t="s">
        <v>200</v>
      </c>
      <c r="F129" s="21">
        <f>TVM!F129+KLM!F129+PTA!F129+ALP!F129+KTM!F129+IDK!F129+EKM!F129+TSR!F129+PLKD!F129+MLPM!F129+KKD!F129+WYND!F129+KNR!F129+KSRGD!F129+SHS!F129</f>
        <v>0</v>
      </c>
      <c r="G129" s="21"/>
      <c r="H129" s="21">
        <f>TVM!H129+KLM!H129+PTA!H129+ALP!H129+KTM!H129+IDK!H129+EKM!H129+TSR!H129+PLKD!H129+MLPM!H129+KKD!H129+WYND!H129+KNR!H129+KSRGD!H129+SHS!H129</f>
        <v>0</v>
      </c>
      <c r="I129" s="21">
        <f>TVM!I129+KLM!I129+PTA!I129+ALP!I129+KTM!I129+IDK!I129+EKM!I129+TSR!I129+PLKD!I129+MLPM!I129+KKD!I129+WYND!I129+KNR!I129+KSRGD!I129+SHS!I129</f>
        <v>0</v>
      </c>
      <c r="J129" s="21">
        <f>TVM!J129+KLM!J129+PTA!J129+ALP!J129+KTM!J129+IDK!J129+EKM!J129+TSR!J129+PLKD!J129+MLPM!J129+KKD!J129+WYND!J129+KNR!J129+KSRGD!J129+SHS!J129</f>
        <v>0</v>
      </c>
      <c r="K129" s="21"/>
      <c r="L129" s="21">
        <f>TVM!L129+KLM!L129+PTA!L129+ALP!L129+KTM!L129+IDK!L129+EKM!L129+TSR!L129+PLKD!L129+MLPM!L129+KKD!L129+WYND!L129+KNR!L129+KSRGD!L129+SHS!L129</f>
        <v>0</v>
      </c>
      <c r="M129" s="21"/>
      <c r="N129" s="21">
        <f>TVM!N129+KLM!N129+PTA!N129+ALP!N129+KTM!N129+IDK!N129+EKM!N129+TSR!N129+PLKD!N129+MLPM!N129+KKD!N129+WYND!N129+KNR!N129+KSRGD!N129+SHS!N129</f>
        <v>0</v>
      </c>
      <c r="O129" s="21">
        <f>TVM!O129+KLM!O129+PTA!O129+ALP!O129+KTM!O129+IDK!O129+EKM!O129+TSR!O129+PLKD!O129+MLPM!O129+KKD!O129+WYND!O129+KNR!O129+KSRGD!O129+SHS!O129</f>
        <v>0</v>
      </c>
      <c r="P129" s="21">
        <f>TVM!P129+KLM!P129+PTA!P129+ALP!P129+KTM!P129+IDK!P129+EKM!P129+TSR!P129+PLKD!P129+MLPM!P129+KKD!P129+WYND!P129+KNR!P129+KSRGD!P129+SHS!P129</f>
        <v>0</v>
      </c>
      <c r="Q129" s="21"/>
      <c r="R129" s="21">
        <f>TVM!R129+KLM!R129+PTA!R129+ALP!R129+KTM!R129+IDK!R129+EKM!R129+TSR!R129+PLKD!R129+MLPM!R129+KKD!R129+WYND!R129+KNR!R129+KSRGD!R129+SHS!R129</f>
        <v>0</v>
      </c>
      <c r="S129" s="21"/>
      <c r="T129" s="21">
        <f>TVM!T129+KLM!T129+PTA!T129+ALP!T129+KTM!T129+IDK!T129+EKM!T129+TSR!T129+PLKD!T129+MLPM!T129+KKD!T129+WYND!T129+KNR!T129+KSRGD!T129+SHS!T129</f>
        <v>0</v>
      </c>
      <c r="U129" s="21"/>
      <c r="V129" s="21">
        <f>TVM!V129+KLM!V129+PTA!V129+ALP!V129+KTM!V129+IDK!V129+EKM!V129+TSR!V129+PLKD!V129+MLPM!V129+KKD!V129+WYND!V129+KNR!V129+KSRGD!V129+SHS!V129</f>
        <v>0</v>
      </c>
      <c r="W129" s="21"/>
      <c r="X129" s="22">
        <f t="shared" si="4"/>
        <v>0</v>
      </c>
      <c r="Y129" s="61"/>
    </row>
    <row r="130" spans="1:25" ht="25.5" hidden="1" customHeight="1">
      <c r="A130" s="498"/>
      <c r="B130" s="496"/>
      <c r="C130" s="496"/>
      <c r="D130" s="43">
        <v>123</v>
      </c>
      <c r="E130" s="43" t="s">
        <v>201</v>
      </c>
      <c r="F130" s="21">
        <f>TVM!F130+KLM!F130+PTA!F130+ALP!F130+KTM!F130+IDK!F130+EKM!F130+TSR!F130+PLKD!F130+MLPM!F130+KKD!F130+WYND!F130+KNR!F130+KSRGD!F130+SHS!F130</f>
        <v>0</v>
      </c>
      <c r="G130" s="21"/>
      <c r="H130" s="21">
        <f>TVM!H130+KLM!H130+PTA!H130+ALP!H130+KTM!H130+IDK!H130+EKM!H130+TSR!H130+PLKD!H130+MLPM!H130+KKD!H130+WYND!H130+KNR!H130+KSRGD!H130+SHS!H130</f>
        <v>0</v>
      </c>
      <c r="I130" s="21">
        <f>TVM!I130+KLM!I130+PTA!I130+ALP!I130+KTM!I130+IDK!I130+EKM!I130+TSR!I130+PLKD!I130+MLPM!I130+KKD!I130+WYND!I130+KNR!I130+KSRGD!I130+SHS!I130</f>
        <v>0</v>
      </c>
      <c r="J130" s="21">
        <f>TVM!J130+KLM!J130+PTA!J130+ALP!J130+KTM!J130+IDK!J130+EKM!J130+TSR!J130+PLKD!J130+MLPM!J130+KKD!J130+WYND!J130+KNR!J130+KSRGD!J130+SHS!J130</f>
        <v>0</v>
      </c>
      <c r="K130" s="21"/>
      <c r="L130" s="21">
        <f>TVM!L130+KLM!L130+PTA!L130+ALP!L130+KTM!L130+IDK!L130+EKM!L130+TSR!L130+PLKD!L130+MLPM!L130+KKD!L130+WYND!L130+KNR!L130+KSRGD!L130+SHS!L130</f>
        <v>0</v>
      </c>
      <c r="M130" s="21"/>
      <c r="N130" s="21">
        <f>TVM!N130+KLM!N130+PTA!N130+ALP!N130+KTM!N130+IDK!N130+EKM!N130+TSR!N130+PLKD!N130+MLPM!N130+KKD!N130+WYND!N130+KNR!N130+KSRGD!N130+SHS!N130</f>
        <v>0</v>
      </c>
      <c r="O130" s="21">
        <f>TVM!O130+KLM!O130+PTA!O130+ALP!O130+KTM!O130+IDK!O130+EKM!O130+TSR!O130+PLKD!O130+MLPM!O130+KKD!O130+WYND!O130+KNR!O130+KSRGD!O130+SHS!O130</f>
        <v>0</v>
      </c>
      <c r="P130" s="21">
        <f>TVM!P130+KLM!P130+PTA!P130+ALP!P130+KTM!P130+IDK!P130+EKM!P130+TSR!P130+PLKD!P130+MLPM!P130+KKD!P130+WYND!P130+KNR!P130+KSRGD!P130+SHS!P130</f>
        <v>0</v>
      </c>
      <c r="Q130" s="21"/>
      <c r="R130" s="21">
        <f>TVM!R130+KLM!R130+PTA!R130+ALP!R130+KTM!R130+IDK!R130+EKM!R130+TSR!R130+PLKD!R130+MLPM!R130+KKD!R130+WYND!R130+KNR!R130+KSRGD!R130+SHS!R130</f>
        <v>0</v>
      </c>
      <c r="S130" s="21"/>
      <c r="T130" s="48">
        <f>TVM!T130+KLM!T130+PTA!T130+ALP!T130+KTM!T130+IDK!T130+EKM!T130+TSR!T130+PLKD!T130+MLPM!T130+KKD!T130+WYND!T130+KNR!T130+KSRGD!T130+SHS!T130</f>
        <v>0</v>
      </c>
      <c r="U130" s="21"/>
      <c r="V130" s="21">
        <f>TVM!V130+KLM!V130+PTA!V130+ALP!V130+KTM!V130+IDK!V130+EKM!V130+TSR!V130+PLKD!V130+MLPM!V130+KKD!V130+WYND!V130+KNR!V130+KSRGD!V130+SHS!V130</f>
        <v>0</v>
      </c>
      <c r="W130" s="21"/>
      <c r="X130" s="22">
        <f t="shared" si="4"/>
        <v>0</v>
      </c>
      <c r="Y130" s="25"/>
    </row>
    <row r="131" spans="1:25" ht="31.5">
      <c r="A131" s="498"/>
      <c r="B131" s="497" t="s">
        <v>202</v>
      </c>
      <c r="C131" s="497" t="s">
        <v>203</v>
      </c>
      <c r="D131" s="43">
        <v>124</v>
      </c>
      <c r="E131" s="43" t="s">
        <v>204</v>
      </c>
      <c r="F131" s="21">
        <f>TVM!F131+KLM!F131+PTA!F131+ALP!F131+KTM!F131+IDK!F131+EKM!F131+TSR!F131+PLKD!F131+MLPM!F131+KKD!F131+WYND!F131+KNR!F131+KSRGD!F131+SHS!F131</f>
        <v>0</v>
      </c>
      <c r="G131" s="21"/>
      <c r="H131" s="21">
        <f>TVM!H131+KLM!H131+PTA!H131+ALP!H131+KTM!H131+IDK!H131+EKM!H131+TSR!H131+PLKD!H131+MLPM!H131+KKD!H131+WYND!H131+KNR!H131+KSRGD!H131+SHS!H131</f>
        <v>0</v>
      </c>
      <c r="I131" s="48">
        <f>TVM!I131+KLM!I131+PTA!I131+ALP!I131+KTM!I131+IDK!I131+EKM!I131+TSR!I131+PLKD!I131+MLPM!I131+KKD!I131+WYND!I131+KNR!I131+KSRGD!I131+SHS!I131</f>
        <v>0</v>
      </c>
      <c r="J131" s="48">
        <f>TVM!J131+KLM!J131+PTA!J131+ALP!J131+KTM!J131+IDK!J131+EKM!J131+TSR!J131+PLKD!J131+MLPM!J131+KKD!J131+WYND!J131+KNR!J131+KSRGD!J131+SHS!J131</f>
        <v>0</v>
      </c>
      <c r="K131" s="21"/>
      <c r="L131" s="21">
        <f>TVM!L131+KLM!L131+PTA!L131+ALP!L131+KTM!L131+IDK!L131+EKM!L131+TSR!L131+PLKD!L131+MLPM!L131+KKD!L131+WYND!L131+KNR!L131+KSRGD!L131+SHS!L131</f>
        <v>29</v>
      </c>
      <c r="M131" s="21"/>
      <c r="N131" s="21">
        <f>TVM!N131+KLM!N131+PTA!N131+ALP!N131+KTM!N131+IDK!N131+EKM!N131+TSR!N131+PLKD!N131+MLPM!N131+KKD!N131+WYND!N131+KNR!N131+KSRGD!N131+SHS!N131</f>
        <v>0</v>
      </c>
      <c r="O131" s="21">
        <f>TVM!O131+KLM!O131+PTA!O131+ALP!O131+KTM!O131+IDK!O131+EKM!O131+TSR!O131+PLKD!O131+MLPM!O131+KKD!O131+WYND!O131+KNR!O131+KSRGD!O131+SHS!O131</f>
        <v>0</v>
      </c>
      <c r="P131" s="21">
        <f>TVM!P131+KLM!P131+PTA!P131+ALP!P131+KTM!P131+IDK!P131+EKM!P131+TSR!P131+PLKD!P131+MLPM!P131+KKD!P131+WYND!P131+KNR!P131+KSRGD!P131+SHS!P131</f>
        <v>0</v>
      </c>
      <c r="Q131" s="21"/>
      <c r="R131" s="21">
        <f>TVM!R131+KLM!R131+PTA!R131+ALP!R131+KTM!R131+IDK!R131+EKM!R131+TSR!R131+PLKD!R131+MLPM!R131+KKD!R131+WYND!R131+KNR!R131+KSRGD!R131+SHS!R131</f>
        <v>0</v>
      </c>
      <c r="S131" s="21"/>
      <c r="T131" s="21">
        <f>TVM!T131+KLM!T131+PTA!T131+ALP!T131+KTM!T131+IDK!T131+EKM!T131+TSR!T131+PLKD!T131+MLPM!T131+KKD!T131+WYND!T131+KNR!T131+KSRGD!T131+SHS!T131</f>
        <v>0</v>
      </c>
      <c r="U131" s="21"/>
      <c r="V131" s="21">
        <f>TVM!V131+KLM!V131+PTA!V131+ALP!V131+KTM!V131+IDK!V131+EKM!V131+TSR!V131+PLKD!V131+MLPM!V131+KKD!V131+WYND!V131+KNR!V131+KSRGD!V131+SHS!V131</f>
        <v>0</v>
      </c>
      <c r="W131" s="21"/>
      <c r="X131" s="54">
        <f t="shared" si="4"/>
        <v>29</v>
      </c>
      <c r="Y131" s="452" t="s">
        <v>535</v>
      </c>
    </row>
    <row r="132" spans="1:25" ht="46.5" customHeight="1">
      <c r="A132" s="498"/>
      <c r="B132" s="496"/>
      <c r="C132" s="496"/>
      <c r="D132" s="43">
        <v>125</v>
      </c>
      <c r="E132" s="43" t="s">
        <v>205</v>
      </c>
      <c r="F132" s="21">
        <f>TVM!F132+KLM!F132+PTA!F132+ALP!F132+KTM!F132+IDK!F132+EKM!F132+TSR!F132+PLKD!F132+MLPM!F132+KKD!F132+WYND!F132+KNR!F132+KSRGD!F132+SHS!F132</f>
        <v>0</v>
      </c>
      <c r="G132" s="21"/>
      <c r="H132" s="21">
        <f>TVM!H132+KLM!H132+PTA!H132+ALP!H132+KTM!H132+IDK!H132+EKM!H132+TSR!H132+PLKD!H132+MLPM!H132+KKD!H132+WYND!H132+KNR!H132+KSRGD!H132+SHS!H132</f>
        <v>80</v>
      </c>
      <c r="I132" s="48">
        <f>TVM!I132+KLM!I132+PTA!I132+ALP!I132+KTM!I132+IDK!I132+EKM!I132+TSR!I132+PLKD!I132+MLPM!I132+KKD!I132+WYND!I132+KNR!I132+KSRGD!I132+SHS!I132</f>
        <v>0</v>
      </c>
      <c r="J132" s="48">
        <f>TVM!J132+KLM!J132+PTA!J132+ALP!J132+KTM!J132+IDK!J132+EKM!J132+TSR!J132+PLKD!J132+MLPM!J132+KKD!J132+WYND!J132+KNR!J132+KSRGD!J132+SHS!J132</f>
        <v>80</v>
      </c>
      <c r="K132" s="21"/>
      <c r="L132" s="21">
        <f>TVM!L132+KLM!L132+PTA!L132+ALP!L132+KTM!L132+IDK!L132+EKM!L132+TSR!L132+PLKD!L132+MLPM!L132+KKD!L132+WYND!L132+KNR!L132+KSRGD!L132+SHS!L132</f>
        <v>0</v>
      </c>
      <c r="M132" s="21"/>
      <c r="N132" s="21">
        <f>TVM!N132+KLM!N132+PTA!N132+ALP!N132+KTM!N132+IDK!N132+EKM!N132+TSR!N132+PLKD!N132+MLPM!N132+KKD!N132+WYND!N132+KNR!N132+KSRGD!N132+SHS!N132</f>
        <v>0</v>
      </c>
      <c r="O132" s="21">
        <f>TVM!O132+KLM!O132+PTA!O132+ALP!O132+KTM!O132+IDK!O132+EKM!O132+TSR!O132+PLKD!O132+MLPM!O132+KKD!O132+WYND!O132+KNR!O132+KSRGD!O132+SHS!O132</f>
        <v>0</v>
      </c>
      <c r="P132" s="21">
        <f>TVM!P132+KLM!P132+PTA!P132+ALP!P132+KTM!P132+IDK!P132+EKM!P132+TSR!P132+PLKD!P132+MLPM!P132+KKD!P132+WYND!P132+KNR!P132+KSRGD!P132+SHS!P132</f>
        <v>0</v>
      </c>
      <c r="Q132" s="21"/>
      <c r="R132" s="21">
        <f>TVM!R132+KLM!R132+PTA!R132+ALP!R132+KTM!R132+IDK!R132+EKM!R132+TSR!R132+PLKD!R132+MLPM!R132+KKD!R132+WYND!R132+KNR!R132+KSRGD!R132+SHS!R132</f>
        <v>0</v>
      </c>
      <c r="S132" s="21"/>
      <c r="T132" s="21">
        <f>TVM!T132+KLM!T132+PTA!T132+ALP!T132+KTM!T132+IDK!T132+EKM!T132+TSR!T132+PLKD!T132+MLPM!T132+KKD!T132+WYND!T132+KNR!T132+KSRGD!T132+SHS!T132</f>
        <v>0</v>
      </c>
      <c r="U132" s="21"/>
      <c r="V132" s="21">
        <f>TVM!V132+KLM!V132+PTA!V132+ALP!V132+KTM!V132+IDK!V132+EKM!V132+TSR!V132+PLKD!V132+MLPM!V132+KKD!V132+WYND!V132+KNR!V132+KSRGD!V132+SHS!V132</f>
        <v>0</v>
      </c>
      <c r="W132" s="21"/>
      <c r="X132" s="22">
        <f t="shared" si="4"/>
        <v>80</v>
      </c>
      <c r="Y132" s="61"/>
    </row>
    <row r="133" spans="1:25" ht="57.75" hidden="1" customHeight="1">
      <c r="A133" s="498"/>
      <c r="B133" s="43" t="s">
        <v>206</v>
      </c>
      <c r="C133" s="43" t="s">
        <v>207</v>
      </c>
      <c r="D133" s="43">
        <v>126</v>
      </c>
      <c r="E133" s="43" t="s">
        <v>142</v>
      </c>
      <c r="F133" s="21">
        <f>TVM!F133+KLM!F133+PTA!F133+ALP!F133+KTM!F133+IDK!F133+EKM!F133+TSR!F133+PLKD!F133+MLPM!F133+KKD!F133+WYND!F133+KNR!F133+KSRGD!F133+SHS!F133</f>
        <v>0</v>
      </c>
      <c r="G133" s="21"/>
      <c r="H133" s="21">
        <f>TVM!H133+KLM!H133+PTA!H133+ALP!H133+KTM!H133+IDK!H133+EKM!H133+TSR!H133+PLKD!H133+MLPM!H133+KKD!H133+WYND!H133+KNR!H133+KSRGD!H133+SHS!H133</f>
        <v>0</v>
      </c>
      <c r="I133" s="21">
        <f>TVM!I133+KLM!I133+PTA!I133+ALP!I133+KTM!I133+IDK!I133+EKM!I133+TSR!I133+PLKD!I133+MLPM!I133+KKD!I133+WYND!I133+KNR!I133+KSRGD!I133+SHS!I133</f>
        <v>0</v>
      </c>
      <c r="J133" s="21">
        <f>TVM!J133+KLM!J133+PTA!J133+ALP!J133+KTM!J133+IDK!J133+EKM!J133+TSR!J133+PLKD!J133+MLPM!J133+KKD!J133+WYND!J133+KNR!J133+KSRGD!J133+SHS!J133</f>
        <v>0</v>
      </c>
      <c r="K133" s="21"/>
      <c r="L133" s="21">
        <f>TVM!L133+KLM!L133+PTA!L133+ALP!L133+KTM!L133+IDK!L133+EKM!L133+TSR!L133+PLKD!L133+MLPM!L133+KKD!L133+WYND!L133+KNR!L133+KSRGD!L133+SHS!L133</f>
        <v>0</v>
      </c>
      <c r="M133" s="21"/>
      <c r="N133" s="21">
        <f>TVM!N133+KLM!N133+PTA!N133+ALP!N133+KTM!N133+IDK!N133+EKM!N133+TSR!N133+PLKD!N133+MLPM!N133+KKD!N133+WYND!N133+KNR!N133+KSRGD!N133+SHS!N133</f>
        <v>0</v>
      </c>
      <c r="O133" s="21">
        <f>TVM!O133+KLM!O133+PTA!O133+ALP!O133+KTM!O133+IDK!O133+EKM!O133+TSR!O133+PLKD!O133+MLPM!O133+KKD!O133+WYND!O133+KNR!O133+KSRGD!O133+SHS!O133</f>
        <v>0</v>
      </c>
      <c r="P133" s="21">
        <f>TVM!P133+KLM!P133+PTA!P133+ALP!P133+KTM!P133+IDK!P133+EKM!P133+TSR!P133+PLKD!P133+MLPM!P133+KKD!P133+WYND!P133+KNR!P133+KSRGD!P133+SHS!P133</f>
        <v>0</v>
      </c>
      <c r="Q133" s="21"/>
      <c r="R133" s="21">
        <f>TVM!R133+KLM!R133+PTA!R133+ALP!R133+KTM!R133+IDK!R133+EKM!R133+TSR!R133+PLKD!R133+MLPM!R133+KKD!R133+WYND!R133+KNR!R133+KSRGD!R133+SHS!R133</f>
        <v>0</v>
      </c>
      <c r="S133" s="21"/>
      <c r="T133" s="21">
        <f>TVM!T133+KLM!T133+PTA!T133+ALP!T133+KTM!T133+IDK!T133+EKM!T133+TSR!T133+PLKD!T133+MLPM!T133+KKD!T133+WYND!T133+KNR!T133+KSRGD!T133+SHS!T133</f>
        <v>0</v>
      </c>
      <c r="U133" s="21"/>
      <c r="V133" s="21">
        <f>TVM!V133+KLM!V133+PTA!V133+ALP!V133+KTM!V133+IDK!V133+EKM!V133+TSR!V133+PLKD!V133+MLPM!V133+KKD!V133+WYND!V133+KNR!V133+KSRGD!V133+SHS!V133</f>
        <v>0</v>
      </c>
      <c r="W133" s="21"/>
      <c r="X133" s="22">
        <f t="shared" si="4"/>
        <v>0</v>
      </c>
      <c r="Y133" s="46"/>
    </row>
    <row r="134" spans="1:25" ht="26.25" customHeight="1">
      <c r="A134" s="496"/>
      <c r="B134" s="501" t="s">
        <v>208</v>
      </c>
      <c r="C134" s="489"/>
      <c r="D134" s="490"/>
      <c r="E134" s="43"/>
      <c r="F134" s="74">
        <f t="shared" ref="F134:X134" si="5">SUM(F94:F133)</f>
        <v>0</v>
      </c>
      <c r="G134" s="74">
        <f t="shared" si="5"/>
        <v>0</v>
      </c>
      <c r="H134" s="74">
        <f t="shared" si="5"/>
        <v>140</v>
      </c>
      <c r="I134" s="74">
        <f t="shared" si="5"/>
        <v>129</v>
      </c>
      <c r="J134" s="74">
        <f t="shared" si="5"/>
        <v>269</v>
      </c>
      <c r="K134" s="74">
        <f t="shared" si="5"/>
        <v>0</v>
      </c>
      <c r="L134" s="74">
        <f t="shared" si="5"/>
        <v>1793.45</v>
      </c>
      <c r="M134" s="74">
        <f t="shared" si="5"/>
        <v>0</v>
      </c>
      <c r="N134" s="74">
        <f t="shared" si="5"/>
        <v>0</v>
      </c>
      <c r="O134" s="60">
        <f t="shared" si="5"/>
        <v>4104.3500000000004</v>
      </c>
      <c r="P134" s="60">
        <f t="shared" si="5"/>
        <v>4104.3500000000004</v>
      </c>
      <c r="Q134" s="74">
        <f t="shared" si="5"/>
        <v>0</v>
      </c>
      <c r="R134" s="74">
        <f t="shared" si="5"/>
        <v>245.47000000000003</v>
      </c>
      <c r="S134" s="74">
        <f t="shared" si="5"/>
        <v>0</v>
      </c>
      <c r="T134" s="74">
        <f t="shared" si="5"/>
        <v>664.76</v>
      </c>
      <c r="U134" s="74">
        <f t="shared" si="5"/>
        <v>0</v>
      </c>
      <c r="V134" s="74">
        <f t="shared" si="5"/>
        <v>0</v>
      </c>
      <c r="W134" s="74">
        <f t="shared" si="5"/>
        <v>0</v>
      </c>
      <c r="X134" s="60">
        <f t="shared" si="5"/>
        <v>7077.0300000000016</v>
      </c>
      <c r="Y134" s="87"/>
    </row>
    <row r="135" spans="1:25" ht="63">
      <c r="A135" s="499" t="s">
        <v>209</v>
      </c>
      <c r="B135" s="497" t="s">
        <v>210</v>
      </c>
      <c r="C135" s="497" t="s">
        <v>211</v>
      </c>
      <c r="D135" s="43">
        <v>127</v>
      </c>
      <c r="E135" s="43" t="s">
        <v>212</v>
      </c>
      <c r="F135" s="21">
        <f>TVM!F135+KLM!F135+PTA!F135+ALP!F135+KTM!F135+IDK!F135+EKM!F135+TSR!F135+PLKD!F135+MLPM!F135+KKD!F135+WYND!F135+KNR!F135+KSRGD!F135+SHS!F135</f>
        <v>0</v>
      </c>
      <c r="G135" s="21"/>
      <c r="H135" s="21">
        <f>TVM!H135+KLM!H135+PTA!H135+ALP!H135+KTM!H135+IDK!H135+EKM!H135+TSR!H135+PLKD!H135+MLPM!H135+KKD!H135+WYND!H135+KNR!H135+KSRGD!H135+SHS!H135</f>
        <v>0</v>
      </c>
      <c r="I135" s="21">
        <f>TVM!I135+KLM!I135+PTA!I135+ALP!I135+KTM!I135+IDK!I135+EKM!I135+TSR!I135+PLKD!I135+MLPM!I135+KKD!I135+WYND!I135+KNR!I135+KSRGD!I135+SHS!I135</f>
        <v>0</v>
      </c>
      <c r="J135" s="21">
        <f>TVM!J135+KLM!J135+PTA!J135+ALP!J135+KTM!J135+IDK!J135+EKM!J135+TSR!J135+PLKD!J135+MLPM!J135+KKD!J135+WYND!J135+KNR!J135+KSRGD!J135+SHS!J135</f>
        <v>0</v>
      </c>
      <c r="K135" s="21"/>
      <c r="L135" s="21">
        <f>TVM!L135+KLM!L135+PTA!L135+ALP!L135+KTM!L135+IDK!L135+EKM!L135+TSR!L135+PLKD!L135+MLPM!L135+KKD!L135+WYND!L135+KNR!L135+KSRGD!L135+SHS!L135</f>
        <v>0</v>
      </c>
      <c r="M135" s="21"/>
      <c r="N135" s="21">
        <f>TVM!N135+KLM!N135+PTA!N135+ALP!N135+KTM!N135+IDK!N135+EKM!N135+TSR!N135+PLKD!N135+MLPM!N135+KKD!N135+WYND!N135+KNR!N135+KSRGD!N135+SHS!N135</f>
        <v>0</v>
      </c>
      <c r="O135" s="21">
        <f>TVM!O135+KLM!O135+PTA!O135+ALP!O135+KTM!O135+IDK!O135+EKM!O135+TSR!O135+PLKD!O135+MLPM!O135+KKD!O135+WYND!O135+KNR!O135+KSRGD!O135+SHS!O135</f>
        <v>0</v>
      </c>
      <c r="P135" s="21">
        <f>TVM!P135+KLM!P135+PTA!P135+ALP!P135+KTM!P135+IDK!P135+EKM!P135+TSR!P135+PLKD!P135+MLPM!P135+KKD!P135+WYND!P135+KNR!P135+KSRGD!P135+SHS!P135</f>
        <v>0</v>
      </c>
      <c r="Q135" s="21"/>
      <c r="R135" s="21">
        <f>TVM!R135+KLM!R135+PTA!R135+ALP!R135+KTM!R135+IDK!R135+EKM!R135+TSR!R135+PLKD!R135+MLPM!R135+KKD!R135+WYND!R135+KNR!R135+KSRGD!R135+SHS!R135</f>
        <v>0</v>
      </c>
      <c r="S135" s="21"/>
      <c r="T135" s="21">
        <f>TVM!T135+KLM!T135+PTA!T135+ALP!T135+KTM!T135+IDK!T135+EKM!T135+TSR!T135+PLKD!T135+MLPM!T135+KKD!T135+WYND!T135+KNR!T135+KSRGD!T135+SHS!T135</f>
        <v>0</v>
      </c>
      <c r="U135" s="21"/>
      <c r="V135" s="21">
        <f>TVM!V135+KLM!V135+PTA!V135+ALP!V135+KTM!V135+IDK!V135+EKM!V135+TSR!V135+PLKD!V135+MLPM!V135+KKD!V135+WYND!V135+KNR!V135+KSRGD!V135+SHS!V135</f>
        <v>0</v>
      </c>
      <c r="W135" s="21"/>
      <c r="X135" s="22">
        <f t="shared" ref="X135:X157" si="6">F135+J135+L135+P135+R135+T135+V135</f>
        <v>0</v>
      </c>
      <c r="Y135" s="46"/>
    </row>
    <row r="136" spans="1:25" ht="39" customHeight="1">
      <c r="A136" s="498"/>
      <c r="B136" s="496"/>
      <c r="C136" s="496"/>
      <c r="D136" s="43">
        <v>128</v>
      </c>
      <c r="E136" s="43" t="s">
        <v>213</v>
      </c>
      <c r="F136" s="21">
        <f>TVM!F136+KLM!F136+PTA!F136+ALP!F136+KTM!F136+IDK!F136+EKM!F136+TSR!F136+PLKD!F136+MLPM!F136+KKD!F136+WYND!F136+KNR!F136+KSRGD!F136+SHS!F136</f>
        <v>0</v>
      </c>
      <c r="G136" s="21"/>
      <c r="H136" s="21">
        <f>TVM!H136+KLM!H136+PTA!H136+ALP!H136+KTM!H136+IDK!H136+EKM!H136+TSR!H136+PLKD!H136+MLPM!H136+KKD!H136+WYND!H136+KNR!H136+KSRGD!H136+SHS!H136</f>
        <v>0</v>
      </c>
      <c r="I136" s="21">
        <f>TVM!I136+KLM!I136+PTA!I136+ALP!I136+KTM!I136+IDK!I136+EKM!I136+TSR!I136+PLKD!I136+MLPM!I136+KKD!I136+WYND!I136+KNR!I136+KSRGD!I136+SHS!I136</f>
        <v>0</v>
      </c>
      <c r="J136" s="21">
        <f>TVM!J136+KLM!J136+PTA!J136+ALP!J136+KTM!J136+IDK!J136+EKM!J136+TSR!J136+PLKD!J136+MLPM!J136+KKD!J136+WYND!J136+KNR!J136+KSRGD!J136+SHS!J136</f>
        <v>0</v>
      </c>
      <c r="K136" s="21"/>
      <c r="L136" s="21">
        <f>TVM!L136+KLM!L136+PTA!L136+ALP!L136+KTM!L136+IDK!L136+EKM!L136+TSR!L136+PLKD!L136+MLPM!L136+KKD!L136+WYND!L136+KNR!L136+KSRGD!L136+SHS!L136</f>
        <v>0</v>
      </c>
      <c r="M136" s="21"/>
      <c r="N136" s="21">
        <f>TVM!N136+KLM!N136+PTA!N136+ALP!N136+KTM!N136+IDK!N136+EKM!N136+TSR!N136+PLKD!N136+MLPM!N136+KKD!N136+WYND!N136+KNR!N136+KSRGD!N136+SHS!N136</f>
        <v>0</v>
      </c>
      <c r="O136" s="22">
        <f>TVM!O136+KLM!O136+PTA!O136+ALP!O136+KTM!O136+IDK!O136+EKM!O136+TSR!O136+PLKD!O136+MLPM!O136+KKD!O136+WYND!O136+KNR!O136+KSRGD!O136+SHS!O136</f>
        <v>0</v>
      </c>
      <c r="P136" s="22">
        <f>TVM!P136+KLM!P136+PTA!P136+ALP!P136+KTM!P136+IDK!P136+EKM!P136+TSR!P136+PLKD!P136+MLPM!P136+KKD!P136+WYND!P136+KNR!P136+KSRGD!P136+SHS!P136</f>
        <v>0</v>
      </c>
      <c r="Q136" s="21"/>
      <c r="R136" s="21">
        <f>TVM!R136+KLM!R136+PTA!R136+ALP!R136+KTM!R136+IDK!R136+EKM!R136+TSR!R136+PLKD!R136+MLPM!R136+KKD!R136+WYND!R136+KNR!R136+KSRGD!R136+SHS!R136</f>
        <v>0</v>
      </c>
      <c r="S136" s="21"/>
      <c r="T136" s="22">
        <f>TVM!T136+KLM!T136+PTA!T136+ALP!T136+KTM!T136+IDK!T136+EKM!T136+TSR!T136+PLKD!T136+MLPM!T136+KKD!T136+WYND!T136+KNR!T136+KSRGD!T136+SHS!T136</f>
        <v>0</v>
      </c>
      <c r="U136" s="21"/>
      <c r="V136" s="21">
        <f>TVM!V136+KLM!V136+PTA!V136+ALP!V136+KTM!V136+IDK!V136+EKM!V136+TSR!V136+PLKD!V136+MLPM!V136+KKD!V136+WYND!V136+KNR!V136+KSRGD!V136+SHS!V136</f>
        <v>0</v>
      </c>
      <c r="W136" s="21"/>
      <c r="X136" s="22">
        <f t="shared" si="6"/>
        <v>0</v>
      </c>
      <c r="Y136" s="61"/>
    </row>
    <row r="137" spans="1:25" ht="47.25">
      <c r="A137" s="498"/>
      <c r="B137" s="43"/>
      <c r="C137" s="43"/>
      <c r="D137" s="43">
        <v>129</v>
      </c>
      <c r="E137" s="43" t="s">
        <v>214</v>
      </c>
      <c r="F137" s="21">
        <f>TVM!F137+KLM!F137+PTA!F137+ALP!F137+KTM!F137+IDK!F137+EKM!F137+TSR!F137+PLKD!F137+MLPM!F137+KKD!F137+WYND!F137+KNR!F137+KSRGD!F137+SHS!F137</f>
        <v>0</v>
      </c>
      <c r="G137" s="21"/>
      <c r="H137" s="21">
        <f>TVM!H137+KLM!H137+PTA!H137+ALP!H137+KTM!H137+IDK!H137+EKM!H137+TSR!H137+PLKD!H137+MLPM!H137+KKD!H137+WYND!H137+KNR!H137+KSRGD!H137+SHS!H137</f>
        <v>0</v>
      </c>
      <c r="I137" s="21">
        <f>TVM!I137+KLM!I137+PTA!I137+ALP!I137+KTM!I137+IDK!I137+EKM!I137+TSR!I137+PLKD!I137+MLPM!I137+KKD!I137+WYND!I137+KNR!I137+KSRGD!I137+SHS!I137</f>
        <v>0</v>
      </c>
      <c r="J137" s="21">
        <f>TVM!J137+KLM!J137+PTA!J137+ALP!J137+KTM!J137+IDK!J137+EKM!J137+TSR!J137+PLKD!J137+MLPM!J137+KKD!J137+WYND!J137+KNR!J137+KSRGD!J137+SHS!J137</f>
        <v>0</v>
      </c>
      <c r="K137" s="21"/>
      <c r="L137" s="21">
        <f>TVM!L137+KLM!L137+PTA!L137+ALP!L137+KTM!L137+IDK!L137+EKM!L137+TSR!L137+PLKD!L137+MLPM!L137+KKD!L137+WYND!L137+KNR!L137+KSRGD!L137+SHS!L137</f>
        <v>0</v>
      </c>
      <c r="M137" s="21"/>
      <c r="N137" s="21">
        <f>TVM!N137+KLM!N137+PTA!N137+ALP!N137+KTM!N137+IDK!N137+EKM!N137+TSR!N137+PLKD!N137+MLPM!N137+KKD!N137+WYND!N137+KNR!N137+KSRGD!N137+SHS!N137</f>
        <v>0</v>
      </c>
      <c r="O137" s="21">
        <f>TVM!O137+KLM!O137+PTA!O137+ALP!O137+KTM!O137+IDK!O137+EKM!O137+TSR!O137+PLKD!O137+MLPM!O137+KKD!O137+WYND!O137+KNR!O137+KSRGD!O137+SHS!O137</f>
        <v>0</v>
      </c>
      <c r="P137" s="21">
        <f>TVM!P137+KLM!P137+PTA!P137+ALP!P137+KTM!P137+IDK!P137+EKM!P137+TSR!P137+PLKD!P137+MLPM!P137+KKD!P137+WYND!P137+KNR!P137+KSRGD!P137+SHS!P137</f>
        <v>0</v>
      </c>
      <c r="Q137" s="21"/>
      <c r="R137" s="21">
        <f>TVM!R137+KLM!R137+PTA!R137+ALP!R137+KTM!R137+IDK!R137+EKM!R137+TSR!R137+PLKD!R137+MLPM!R137+KKD!R137+WYND!R137+KNR!R137+KSRGD!R137+SHS!R137</f>
        <v>0</v>
      </c>
      <c r="S137" s="21"/>
      <c r="T137" s="21">
        <f>TVM!T137+KLM!T137+PTA!T137+ALP!T137+KTM!T137+IDK!T137+EKM!T137+TSR!T137+PLKD!T137+MLPM!T137+KKD!T137+WYND!T137+KNR!T137+KSRGD!T137+SHS!T137</f>
        <v>0</v>
      </c>
      <c r="U137" s="21"/>
      <c r="V137" s="21">
        <f>TVM!V137+KLM!V137+PTA!V137+ALP!V137+KTM!V137+IDK!V137+EKM!V137+TSR!V137+PLKD!V137+MLPM!V137+KKD!V137+WYND!V137+KNR!V137+KSRGD!V137+SHS!V137</f>
        <v>0</v>
      </c>
      <c r="W137" s="21"/>
      <c r="X137" s="22">
        <f t="shared" si="6"/>
        <v>0</v>
      </c>
      <c r="Y137" s="46"/>
    </row>
    <row r="138" spans="1:25" ht="63">
      <c r="A138" s="498"/>
      <c r="B138" s="497" t="s">
        <v>215</v>
      </c>
      <c r="C138" s="497" t="s">
        <v>216</v>
      </c>
      <c r="D138" s="43">
        <v>130</v>
      </c>
      <c r="E138" s="43" t="s">
        <v>217</v>
      </c>
      <c r="F138" s="21">
        <f>TVM!F138+KLM!F138+PTA!F138+ALP!F138+KTM!F138+IDK!F138+EKM!F138+TSR!F138+PLKD!F138+MLPM!F138+KKD!F138+WYND!F138+KNR!F138+KSRGD!F138+SHS!F138</f>
        <v>0</v>
      </c>
      <c r="G138" s="21"/>
      <c r="H138" s="21">
        <f>TVM!H138+KLM!H138+PTA!H138+ALP!H138+KTM!H138+IDK!H138+EKM!H138+TSR!H138+PLKD!H138+MLPM!H138+KKD!H138+WYND!H138+KNR!H138+KSRGD!H138+SHS!H138</f>
        <v>0</v>
      </c>
      <c r="I138" s="21">
        <f>TVM!I138+KLM!I138+PTA!I138+ALP!I138+KTM!I138+IDK!I138+EKM!I138+TSR!I138+PLKD!I138+MLPM!I138+KKD!I138+WYND!I138+KNR!I138+KSRGD!I138+SHS!I138</f>
        <v>0</v>
      </c>
      <c r="J138" s="21">
        <f>TVM!J138+KLM!J138+PTA!J138+ALP!J138+KTM!J138+IDK!J138+EKM!J138+TSR!J138+PLKD!J138+MLPM!J138+KKD!J138+WYND!J138+KNR!J138+KSRGD!J138+SHS!J138</f>
        <v>0</v>
      </c>
      <c r="K138" s="21"/>
      <c r="L138" s="21">
        <f>TVM!L138+KLM!L138+PTA!L138+ALP!L138+KTM!L138+IDK!L138+EKM!L138+TSR!L138+PLKD!L138+MLPM!L138+KKD!L138+WYND!L138+KNR!L138+KSRGD!L138+SHS!L138</f>
        <v>0</v>
      </c>
      <c r="M138" s="21"/>
      <c r="N138" s="21">
        <f>TVM!N138+KLM!N138+PTA!N138+ALP!N138+KTM!N138+IDK!N138+EKM!N138+TSR!N138+PLKD!N138+MLPM!N138+KKD!N138+WYND!N138+KNR!N138+KSRGD!N138+SHS!N138</f>
        <v>0</v>
      </c>
      <c r="O138" s="21">
        <f>TVM!O138+KLM!O138+PTA!O138+ALP!O138+KTM!O138+IDK!O138+EKM!O138+TSR!O138+PLKD!O138+MLPM!O138+KKD!O138+WYND!O138+KNR!O138+KSRGD!O138+SHS!O138</f>
        <v>0</v>
      </c>
      <c r="P138" s="21">
        <f>TVM!P138+KLM!P138+PTA!P138+ALP!P138+KTM!P138+IDK!P138+EKM!P138+TSR!P138+PLKD!P138+MLPM!P138+KKD!P138+WYND!P138+KNR!P138+KSRGD!P138+SHS!P138</f>
        <v>0</v>
      </c>
      <c r="Q138" s="21"/>
      <c r="R138" s="21">
        <f>TVM!R138+KLM!R138+PTA!R138+ALP!R138+KTM!R138+IDK!R138+EKM!R138+TSR!R138+PLKD!R138+MLPM!R138+KKD!R138+WYND!R138+KNR!R138+KSRGD!R138+SHS!R138</f>
        <v>0</v>
      </c>
      <c r="S138" s="21"/>
      <c r="T138" s="21">
        <f>TVM!T138+KLM!T138+PTA!T138+ALP!T138+KTM!T138+IDK!T138+EKM!T138+TSR!T138+PLKD!T138+MLPM!T138+KKD!T138+WYND!T138+KNR!T138+KSRGD!T138+SHS!T138</f>
        <v>0</v>
      </c>
      <c r="U138" s="21"/>
      <c r="V138" s="21">
        <f>TVM!V138+KLM!V138+PTA!V138+ALP!V138+KTM!V138+IDK!V138+EKM!V138+TSR!V138+PLKD!V138+MLPM!V138+KKD!V138+WYND!V138+KNR!V138+KSRGD!V138+SHS!V138</f>
        <v>0</v>
      </c>
      <c r="W138" s="21"/>
      <c r="X138" s="22">
        <f t="shared" si="6"/>
        <v>0</v>
      </c>
      <c r="Y138" s="46"/>
    </row>
    <row r="139" spans="1:25" ht="15.75">
      <c r="A139" s="498"/>
      <c r="B139" s="498"/>
      <c r="C139" s="498"/>
      <c r="D139" s="43">
        <v>131</v>
      </c>
      <c r="E139" s="43" t="s">
        <v>218</v>
      </c>
      <c r="F139" s="21">
        <f>TVM!F139+KLM!F139+PTA!F139+ALP!F139+KTM!F139+IDK!F139+EKM!F139+TSR!F139+PLKD!F139+MLPM!F139+KKD!F139+WYND!F139+KNR!F139+KSRGD!F139+SHS!F139</f>
        <v>0</v>
      </c>
      <c r="G139" s="21"/>
      <c r="H139" s="21">
        <f>TVM!H139+KLM!H139+PTA!H139+ALP!H139+KTM!H139+IDK!H139+EKM!H139+TSR!H139+PLKD!H139+MLPM!H139+KKD!H139+WYND!H139+KNR!H139+KSRGD!H139+SHS!H139</f>
        <v>0</v>
      </c>
      <c r="I139" s="21">
        <f>TVM!I139+KLM!I139+PTA!I139+ALP!I139+KTM!I139+IDK!I139+EKM!I139+TSR!I139+PLKD!I139+MLPM!I139+KKD!I139+WYND!I139+KNR!I139+KSRGD!I139+SHS!I139</f>
        <v>0</v>
      </c>
      <c r="J139" s="21">
        <f>TVM!J139+KLM!J139+PTA!J139+ALP!J139+KTM!J139+IDK!J139+EKM!J139+TSR!J139+PLKD!J139+MLPM!J139+KKD!J139+WYND!J139+KNR!J139+KSRGD!J139+SHS!J139</f>
        <v>0</v>
      </c>
      <c r="K139" s="21"/>
      <c r="L139" s="21">
        <f>TVM!L139+KLM!L139+PTA!L139+ALP!L139+KTM!L139+IDK!L139+EKM!L139+TSR!L139+PLKD!L139+MLPM!L139+KKD!L139+WYND!L139+KNR!L139+KSRGD!L139+SHS!L139</f>
        <v>0</v>
      </c>
      <c r="M139" s="21"/>
      <c r="N139" s="21">
        <f>TVM!N139+KLM!N139+PTA!N139+ALP!N139+KTM!N139+IDK!N139+EKM!N139+TSR!N139+PLKD!N139+MLPM!N139+KKD!N139+WYND!N139+KNR!N139+KSRGD!N139+SHS!N139</f>
        <v>0</v>
      </c>
      <c r="O139" s="21">
        <f>TVM!O139+KLM!O139+PTA!O139+ALP!O139+KTM!O139+IDK!O139+EKM!O139+TSR!O139+PLKD!O139+MLPM!O139+KKD!O139+WYND!O139+KNR!O139+KSRGD!O139+SHS!O139</f>
        <v>0</v>
      </c>
      <c r="P139" s="21">
        <f>TVM!P139+KLM!P139+PTA!P139+ALP!P139+KTM!P139+IDK!P139+EKM!P139+TSR!P139+PLKD!P139+MLPM!P139+KKD!P139+WYND!P139+KNR!P139+KSRGD!P139+SHS!P139</f>
        <v>0</v>
      </c>
      <c r="Q139" s="21"/>
      <c r="R139" s="21">
        <f>TVM!R139+KLM!R139+PTA!R139+ALP!R139+KTM!R139+IDK!R139+EKM!R139+TSR!R139+PLKD!R139+MLPM!R139+KKD!R139+WYND!R139+KNR!R139+KSRGD!R139+SHS!R139</f>
        <v>0</v>
      </c>
      <c r="S139" s="21"/>
      <c r="T139" s="21">
        <f>TVM!T139+KLM!T139+PTA!T139+ALP!T139+KTM!T139+IDK!T139+EKM!T139+TSR!T139+PLKD!T139+MLPM!T139+KKD!T139+WYND!T139+KNR!T139+KSRGD!T139+SHS!T139</f>
        <v>0</v>
      </c>
      <c r="U139" s="21"/>
      <c r="V139" s="21">
        <f>TVM!V139+KLM!V139+PTA!V139+ALP!V139+KTM!V139+IDK!V139+EKM!V139+TSR!V139+PLKD!V139+MLPM!V139+KKD!V139+WYND!V139+KNR!V139+KSRGD!V139+SHS!V139</f>
        <v>0</v>
      </c>
      <c r="W139" s="21"/>
      <c r="X139" s="22">
        <f t="shared" si="6"/>
        <v>0</v>
      </c>
      <c r="Y139" s="61"/>
    </row>
    <row r="140" spans="1:25" ht="15.75">
      <c r="A140" s="498"/>
      <c r="B140" s="498"/>
      <c r="C140" s="498"/>
      <c r="D140" s="43">
        <v>132</v>
      </c>
      <c r="E140" s="43" t="s">
        <v>219</v>
      </c>
      <c r="F140" s="21">
        <f>TVM!F140+KLM!F140+PTA!F140+ALP!F140+KTM!F140+IDK!F140+EKM!F140+TSR!F140+PLKD!F140+MLPM!F140+KKD!F140+WYND!F140+KNR!F140+KSRGD!F140+SHS!F140</f>
        <v>0</v>
      </c>
      <c r="G140" s="21"/>
      <c r="H140" s="21">
        <f>TVM!H140+KLM!H140+PTA!H140+ALP!H140+KTM!H140+IDK!H140+EKM!H140+TSR!H140+PLKD!H140+MLPM!H140+KKD!H140+WYND!H140+KNR!H140+KSRGD!H140+SHS!H140</f>
        <v>0</v>
      </c>
      <c r="I140" s="21">
        <f>TVM!I140+KLM!I140+PTA!I140+ALP!I140+KTM!I140+IDK!I140+EKM!I140+TSR!I140+PLKD!I140+MLPM!I140+KKD!I140+WYND!I140+KNR!I140+KSRGD!I140+SHS!I140</f>
        <v>0</v>
      </c>
      <c r="J140" s="21">
        <f>TVM!J140+KLM!J140+PTA!J140+ALP!J140+KTM!J140+IDK!J140+EKM!J140+TSR!J140+PLKD!J140+MLPM!J140+KKD!J140+WYND!J140+KNR!J140+KSRGD!J140+SHS!J140</f>
        <v>0</v>
      </c>
      <c r="K140" s="21"/>
      <c r="L140" s="21">
        <f>TVM!L140+KLM!L140+PTA!L140+ALP!L140+KTM!L140+IDK!L140+EKM!L140+TSR!L140+PLKD!L140+MLPM!L140+KKD!L140+WYND!L140+KNR!L140+KSRGD!L140+SHS!L140</f>
        <v>0</v>
      </c>
      <c r="M140" s="21"/>
      <c r="N140" s="21">
        <f>TVM!N140+KLM!N140+PTA!N140+ALP!N140+KTM!N140+IDK!N140+EKM!N140+TSR!N140+PLKD!N140+MLPM!N140+KKD!N140+WYND!N140+KNR!N140+KSRGD!N140+SHS!N140</f>
        <v>0</v>
      </c>
      <c r="O140" s="21">
        <f>TVM!O140+KLM!O140+PTA!O140+ALP!O140+KTM!O140+IDK!O140+EKM!O140+TSR!O140+PLKD!O140+MLPM!O140+KKD!O140+WYND!O140+KNR!O140+KSRGD!O140+SHS!O140</f>
        <v>0</v>
      </c>
      <c r="P140" s="21">
        <f>TVM!P140+KLM!P140+PTA!P140+ALP!P140+KTM!P140+IDK!P140+EKM!P140+TSR!P140+PLKD!P140+MLPM!P140+KKD!P140+WYND!P140+KNR!P140+KSRGD!P140+SHS!P140</f>
        <v>0</v>
      </c>
      <c r="Q140" s="21"/>
      <c r="R140" s="21">
        <f>TVM!R140+KLM!R140+PTA!R140+ALP!R140+KTM!R140+IDK!R140+EKM!R140+TSR!R140+PLKD!R140+MLPM!R140+KKD!R140+WYND!R140+KNR!R140+KSRGD!R140+SHS!R140</f>
        <v>0</v>
      </c>
      <c r="S140" s="21"/>
      <c r="T140" s="21">
        <f>TVM!T140+KLM!T140+PTA!T140+ALP!T140+KTM!T140+IDK!T140+EKM!T140+TSR!T140+PLKD!T140+MLPM!T140+KKD!T140+WYND!T140+KNR!T140+KSRGD!T140+SHS!T140</f>
        <v>0</v>
      </c>
      <c r="U140" s="21"/>
      <c r="V140" s="21">
        <f>TVM!V140+KLM!V140+PTA!V140+ALP!V140+KTM!V140+IDK!V140+EKM!V140+TSR!V140+PLKD!V140+MLPM!V140+KKD!V140+WYND!V140+KNR!V140+KSRGD!V140+SHS!V140</f>
        <v>0</v>
      </c>
      <c r="W140" s="21"/>
      <c r="X140" s="22">
        <f t="shared" si="6"/>
        <v>0</v>
      </c>
      <c r="Y140" s="46"/>
    </row>
    <row r="141" spans="1:25" ht="15.75">
      <c r="A141" s="498"/>
      <c r="B141" s="498"/>
      <c r="C141" s="498"/>
      <c r="D141" s="43">
        <v>133</v>
      </c>
      <c r="E141" s="43" t="s">
        <v>220</v>
      </c>
      <c r="F141" s="21">
        <f>TVM!F141+KLM!F141+PTA!F141+ALP!F141+KTM!F141+IDK!F141+EKM!F141+TSR!F141+PLKD!F141+MLPM!F141+KKD!F141+WYND!F141+KNR!F141+KSRGD!F141+SHS!F141</f>
        <v>0</v>
      </c>
      <c r="G141" s="21"/>
      <c r="H141" s="21">
        <f>TVM!H141+KLM!H141+PTA!H141+ALP!H141+KTM!H141+IDK!H141+EKM!H141+TSR!H141+PLKD!H141+MLPM!H141+KKD!H141+WYND!H141+KNR!H141+KSRGD!H141+SHS!H141</f>
        <v>0</v>
      </c>
      <c r="I141" s="21">
        <f>TVM!I141+KLM!I141+PTA!I141+ALP!I141+KTM!I141+IDK!I141+EKM!I141+TSR!I141+PLKD!I141+MLPM!I141+KKD!I141+WYND!I141+KNR!I141+KSRGD!I141+SHS!I141</f>
        <v>0</v>
      </c>
      <c r="J141" s="21">
        <f>TVM!J141+KLM!J141+PTA!J141+ALP!J141+KTM!J141+IDK!J141+EKM!J141+TSR!J141+PLKD!J141+MLPM!J141+KKD!J141+WYND!J141+KNR!J141+KSRGD!J141+SHS!J141</f>
        <v>0</v>
      </c>
      <c r="K141" s="21"/>
      <c r="L141" s="21">
        <f>TVM!L141+KLM!L141+PTA!L141+ALP!L141+KTM!L141+IDK!L141+EKM!L141+TSR!L141+PLKD!L141+MLPM!L141+KKD!L141+WYND!L141+KNR!L141+KSRGD!L141+SHS!L141</f>
        <v>0</v>
      </c>
      <c r="M141" s="21"/>
      <c r="N141" s="21">
        <f>TVM!N141+KLM!N141+PTA!N141+ALP!N141+KTM!N141+IDK!N141+EKM!N141+TSR!N141+PLKD!N141+MLPM!N141+KKD!N141+WYND!N141+KNR!N141+KSRGD!N141+SHS!N141</f>
        <v>0</v>
      </c>
      <c r="O141" s="21">
        <f>TVM!O141+KLM!O141+PTA!O141+ALP!O141+KTM!O141+IDK!O141+EKM!O141+TSR!O141+PLKD!O141+MLPM!O141+KKD!O141+WYND!O141+KNR!O141+KSRGD!O141+SHS!O141</f>
        <v>0</v>
      </c>
      <c r="P141" s="21">
        <f>TVM!P141+KLM!P141+PTA!P141+ALP!P141+KTM!P141+IDK!P141+EKM!P141+TSR!P141+PLKD!P141+MLPM!P141+KKD!P141+WYND!P141+KNR!P141+KSRGD!P141+SHS!P141</f>
        <v>0</v>
      </c>
      <c r="Q141" s="21"/>
      <c r="R141" s="21">
        <f>TVM!R141+KLM!R141+PTA!R141+ALP!R141+KTM!R141+IDK!R141+EKM!R141+TSR!R141+PLKD!R141+MLPM!R141+KKD!R141+WYND!R141+KNR!R141+KSRGD!R141+SHS!R141</f>
        <v>0</v>
      </c>
      <c r="S141" s="21"/>
      <c r="T141" s="21">
        <f>TVM!T141+KLM!T141+PTA!T141+ALP!T141+KTM!T141+IDK!T141+EKM!T141+TSR!T141+PLKD!T141+MLPM!T141+KKD!T141+WYND!T141+KNR!T141+KSRGD!T141+SHS!T141</f>
        <v>0</v>
      </c>
      <c r="U141" s="21"/>
      <c r="V141" s="21">
        <f>TVM!V141+KLM!V141+PTA!V141+ALP!V141+KTM!V141+IDK!V141+EKM!V141+TSR!V141+PLKD!V141+MLPM!V141+KKD!V141+WYND!V141+KNR!V141+KSRGD!V141+SHS!V141</f>
        <v>0</v>
      </c>
      <c r="W141" s="21"/>
      <c r="X141" s="22">
        <f t="shared" si="6"/>
        <v>0</v>
      </c>
      <c r="Y141" s="46"/>
    </row>
    <row r="142" spans="1:25" ht="63">
      <c r="A142" s="498"/>
      <c r="B142" s="498"/>
      <c r="C142" s="498"/>
      <c r="D142" s="43">
        <v>134</v>
      </c>
      <c r="E142" s="43" t="s">
        <v>221</v>
      </c>
      <c r="F142" s="21">
        <f>TVM!F142+KLM!F142+PTA!F142+ALP!F142+KTM!F142+IDK!F142+EKM!F142+TSR!F142+PLKD!F142+MLPM!F142+KKD!F142+WYND!F142+KNR!F142+KSRGD!F142+SHS!F142</f>
        <v>0</v>
      </c>
      <c r="G142" s="21"/>
      <c r="H142" s="21">
        <f>TVM!H142+KLM!H142+PTA!H142+ALP!H142+KTM!H142+IDK!H142+EKM!H142+TSR!H142+PLKD!H142+MLPM!H142+KKD!H142+WYND!H142+KNR!H142+KSRGD!H142+SHS!H142</f>
        <v>0</v>
      </c>
      <c r="I142" s="21">
        <f>TVM!I142+KLM!I142+PTA!I142+ALP!I142+KTM!I142+IDK!I142+EKM!I142+TSR!I142+PLKD!I142+MLPM!I142+KKD!I142+WYND!I142+KNR!I142+KSRGD!I142+SHS!I142</f>
        <v>0</v>
      </c>
      <c r="J142" s="21">
        <f>TVM!J142+KLM!J142+PTA!J142+ALP!J142+KTM!J142+IDK!J142+EKM!J142+TSR!J142+PLKD!J142+MLPM!J142+KKD!J142+WYND!J142+KNR!J142+KSRGD!J142+SHS!J142</f>
        <v>0</v>
      </c>
      <c r="K142" s="21"/>
      <c r="L142" s="21">
        <f>TVM!L142+KLM!L142+PTA!L142+ALP!L142+KTM!L142+IDK!L142+EKM!L142+TSR!L142+PLKD!L142+MLPM!L142+KKD!L142+WYND!L142+KNR!L142+KSRGD!L142+SHS!L142</f>
        <v>0</v>
      </c>
      <c r="M142" s="21"/>
      <c r="N142" s="21">
        <f>TVM!N142+KLM!N142+PTA!N142+ALP!N142+KTM!N142+IDK!N142+EKM!N142+TSR!N142+PLKD!N142+MLPM!N142+KKD!N142+WYND!N142+KNR!N142+KSRGD!N142+SHS!N142</f>
        <v>0</v>
      </c>
      <c r="O142" s="21">
        <f>TVM!O142+KLM!O142+PTA!O142+ALP!O142+KTM!O142+IDK!O142+EKM!O142+TSR!O142+PLKD!O142+MLPM!O142+KKD!O142+WYND!O142+KNR!O142+KSRGD!O142+SHS!O142</f>
        <v>0</v>
      </c>
      <c r="P142" s="21">
        <f>TVM!P142+KLM!P142+PTA!P142+ALP!P142+KTM!P142+IDK!P142+EKM!P142+TSR!P142+PLKD!P142+MLPM!P142+KKD!P142+WYND!P142+KNR!P142+KSRGD!P142+SHS!P142</f>
        <v>0</v>
      </c>
      <c r="Q142" s="21"/>
      <c r="R142" s="21">
        <f>TVM!R142+KLM!R142+PTA!R142+ALP!R142+KTM!R142+IDK!R142+EKM!R142+TSR!R142+PLKD!R142+MLPM!R142+KKD!R142+WYND!R142+KNR!R142+KSRGD!R142+SHS!R142</f>
        <v>0</v>
      </c>
      <c r="S142" s="21"/>
      <c r="T142" s="22">
        <f>TVM!T142+KLM!T142+PTA!T142+ALP!T142+KTM!T142+IDK!T142+EKM!T142+TSR!T142+PLKD!T142+MLPM!T142+KKD!T142+WYND!T142+KNR!T142+KSRGD!T142+SHS!T142</f>
        <v>31.200000000000003</v>
      </c>
      <c r="U142" s="21"/>
      <c r="V142" s="21">
        <f>TVM!V142+KLM!V142+PTA!V142+ALP!V142+KTM!V142+IDK!V142+EKM!V142+TSR!V142+PLKD!V142+MLPM!V142+KKD!V142+WYND!V142+KNR!V142+KSRGD!V142+SHS!V142</f>
        <v>0</v>
      </c>
      <c r="W142" s="21"/>
      <c r="X142" s="77">
        <f t="shared" si="6"/>
        <v>31.200000000000003</v>
      </c>
      <c r="Y142" s="450" t="s">
        <v>222</v>
      </c>
    </row>
    <row r="143" spans="1:25" ht="47.25">
      <c r="A143" s="498"/>
      <c r="B143" s="498"/>
      <c r="C143" s="498"/>
      <c r="D143" s="43">
        <v>135</v>
      </c>
      <c r="E143" s="43" t="s">
        <v>223</v>
      </c>
      <c r="F143" s="21">
        <f>TVM!F143+KLM!F143+PTA!F143+ALP!F143+KTM!F143+IDK!F143+EKM!F143+TSR!F143+PLKD!F143+MLPM!F143+KKD!F143+WYND!F143+KNR!F143+KSRGD!F143+SHS!F143</f>
        <v>0</v>
      </c>
      <c r="G143" s="21"/>
      <c r="H143" s="21">
        <f>TVM!H143+KLM!H143+PTA!H143+ALP!H143+KTM!H143+IDK!H143+EKM!H143+TSR!H143+PLKD!H143+MLPM!H143+KKD!H143+WYND!H143+KNR!H143+KSRGD!H143+SHS!H143</f>
        <v>0</v>
      </c>
      <c r="I143" s="21">
        <f>TVM!I143+KLM!I143+PTA!I143+ALP!I143+KTM!I143+IDK!I143+EKM!I143+TSR!I143+PLKD!I143+MLPM!I143+KKD!I143+WYND!I143+KNR!I143+KSRGD!I143+SHS!I143</f>
        <v>0</v>
      </c>
      <c r="J143" s="21">
        <f>TVM!J143+KLM!J143+PTA!J143+ALP!J143+KTM!J143+IDK!J143+EKM!J143+TSR!J143+PLKD!J143+MLPM!J143+KKD!J143+WYND!J143+KNR!J143+KSRGD!J143+SHS!J143</f>
        <v>0</v>
      </c>
      <c r="K143" s="21"/>
      <c r="L143" s="21">
        <f>TVM!L143+KLM!L143+PTA!L143+ALP!L143+KTM!L143+IDK!L143+EKM!L143+TSR!L143+PLKD!L143+MLPM!L143+KKD!L143+WYND!L143+KNR!L143+KSRGD!L143+SHS!L143</f>
        <v>0</v>
      </c>
      <c r="M143" s="21"/>
      <c r="N143" s="21">
        <f>TVM!N143+KLM!N143+PTA!N143+ALP!N143+KTM!N143+IDK!N143+EKM!N143+TSR!N143+PLKD!N143+MLPM!N143+KKD!N143+WYND!N143+KNR!N143+KSRGD!N143+SHS!N143</f>
        <v>0</v>
      </c>
      <c r="O143" s="21">
        <f>TVM!O143+KLM!O143+PTA!O143+ALP!O143+KTM!O143+IDK!O143+EKM!O143+TSR!O143+PLKD!O143+MLPM!O143+KKD!O143+WYND!O143+KNR!O143+KSRGD!O143+SHS!O143</f>
        <v>0</v>
      </c>
      <c r="P143" s="21">
        <f>TVM!P143+KLM!P143+PTA!P143+ALP!P143+KTM!P143+IDK!P143+EKM!P143+TSR!P143+PLKD!P143+MLPM!P143+KKD!P143+WYND!P143+KNR!P143+KSRGD!P143+SHS!P143</f>
        <v>0</v>
      </c>
      <c r="Q143" s="21"/>
      <c r="R143" s="21">
        <f>TVM!R143+KLM!R143+PTA!R143+ALP!R143+KTM!R143+IDK!R143+EKM!R143+TSR!R143+PLKD!R143+MLPM!R143+KKD!R143+WYND!R143+KNR!R143+KSRGD!R143+SHS!R143</f>
        <v>0</v>
      </c>
      <c r="S143" s="21"/>
      <c r="T143" s="21">
        <f>TVM!T143+KLM!T143+PTA!T143+ALP!T143+KTM!T143+IDK!T143+EKM!T143+TSR!T143+PLKD!T143+MLPM!T143+KKD!T143+WYND!T143+KNR!T143+KSRGD!T143+SHS!T143</f>
        <v>0</v>
      </c>
      <c r="U143" s="21"/>
      <c r="V143" s="21">
        <f>TVM!V143+KLM!V143+PTA!V143+ALP!V143+KTM!V143+IDK!V143+EKM!V143+TSR!V143+PLKD!V143+MLPM!V143+KKD!V143+WYND!V143+KNR!V143+KSRGD!V143+SHS!V143</f>
        <v>0</v>
      </c>
      <c r="W143" s="21"/>
      <c r="X143" s="77">
        <f t="shared" si="6"/>
        <v>0</v>
      </c>
      <c r="Y143" s="450"/>
    </row>
    <row r="144" spans="1:25" ht="47.25">
      <c r="A144" s="498"/>
      <c r="B144" s="496"/>
      <c r="C144" s="496"/>
      <c r="D144" s="43">
        <v>136</v>
      </c>
      <c r="E144" s="43" t="s">
        <v>224</v>
      </c>
      <c r="F144" s="21">
        <f>TVM!F144+KLM!F144+PTA!F144+ALP!F144+KTM!F144+IDK!F144+EKM!F144+TSR!F144+PLKD!F144+MLPM!F144+KKD!F144+WYND!F144+KNR!F144+KSRGD!F144+SHS!F144</f>
        <v>0</v>
      </c>
      <c r="G144" s="21"/>
      <c r="H144" s="21">
        <f>TVM!H144+KLM!H144+PTA!H144+ALP!H144+KTM!H144+IDK!H144+EKM!H144+TSR!H144+PLKD!H144+MLPM!H144+KKD!H144+WYND!H144+KNR!H144+KSRGD!H144+SHS!H144</f>
        <v>0</v>
      </c>
      <c r="I144" s="21">
        <f>TVM!I144+KLM!I144+PTA!I144+ALP!I144+KTM!I144+IDK!I144+EKM!I144+TSR!I144+PLKD!I144+MLPM!I144+KKD!I144+WYND!I144+KNR!I144+KSRGD!I144+SHS!I144</f>
        <v>0</v>
      </c>
      <c r="J144" s="21">
        <f>TVM!J144+KLM!J144+PTA!J144+ALP!J144+KTM!J144+IDK!J144+EKM!J144+TSR!J144+PLKD!J144+MLPM!J144+KKD!J144+WYND!J144+KNR!J144+KSRGD!J144+SHS!J144</f>
        <v>0</v>
      </c>
      <c r="K144" s="21"/>
      <c r="L144" s="21">
        <f>TVM!L144+KLM!L144+PTA!L144+ALP!L144+KTM!L144+IDK!L144+EKM!L144+TSR!L144+PLKD!L144+MLPM!L144+KKD!L144+WYND!L144+KNR!L144+KSRGD!L144+SHS!L144</f>
        <v>0</v>
      </c>
      <c r="M144" s="21"/>
      <c r="N144" s="21">
        <f>TVM!N144+KLM!N144+PTA!N144+ALP!N144+KTM!N144+IDK!N144+EKM!N144+TSR!N144+PLKD!N144+MLPM!N144+KKD!N144+WYND!N144+KNR!N144+KSRGD!N144+SHS!N144</f>
        <v>0</v>
      </c>
      <c r="O144" s="21">
        <f>TVM!O144+KLM!O144+PTA!O144+ALP!O144+KTM!O144+IDK!O144+EKM!O144+TSR!O144+PLKD!O144+MLPM!O144+KKD!O144+WYND!O144+KNR!O144+KSRGD!O144+SHS!O144</f>
        <v>0</v>
      </c>
      <c r="P144" s="21">
        <f>TVM!P144+KLM!P144+PTA!P144+ALP!P144+KTM!P144+IDK!P144+EKM!P144+TSR!P144+PLKD!P144+MLPM!P144+KKD!P144+WYND!P144+KNR!P144+KSRGD!P144+SHS!P144</f>
        <v>0</v>
      </c>
      <c r="Q144" s="21"/>
      <c r="R144" s="21">
        <f>TVM!R144+KLM!R144+PTA!R144+ALP!R144+KTM!R144+IDK!R144+EKM!R144+TSR!R144+PLKD!R144+MLPM!R144+KKD!R144+WYND!R144+KNR!R144+KSRGD!R144+SHS!R144</f>
        <v>0</v>
      </c>
      <c r="S144" s="21"/>
      <c r="T144" s="22">
        <f>TVM!T144+KLM!T144+PTA!T144+ALP!T144+KTM!T144+IDK!T144+EKM!T144+TSR!T144+PLKD!T144+MLPM!T144+KKD!T144+WYND!T144+KNR!T144+KSRGD!T144+SHS!T144</f>
        <v>0</v>
      </c>
      <c r="U144" s="21"/>
      <c r="V144" s="21">
        <f>TVM!V144+KLM!V144+PTA!V144+ALP!V144+KTM!V144+IDK!V144+EKM!V144+TSR!V144+PLKD!V144+MLPM!V144+KKD!V144+WYND!V144+KNR!V144+KSRGD!V144+SHS!V144</f>
        <v>0</v>
      </c>
      <c r="W144" s="21"/>
      <c r="X144" s="77">
        <f t="shared" si="6"/>
        <v>0</v>
      </c>
      <c r="Y144" s="78"/>
    </row>
    <row r="145" spans="1:25" ht="15.75">
      <c r="A145" s="498"/>
      <c r="B145" s="497" t="s">
        <v>225</v>
      </c>
      <c r="C145" s="497" t="s">
        <v>226</v>
      </c>
      <c r="D145" s="43">
        <v>137</v>
      </c>
      <c r="E145" s="43" t="s">
        <v>227</v>
      </c>
      <c r="F145" s="21">
        <f>TVM!F145+KLM!F145+PTA!F145+ALP!F145+KTM!F145+IDK!F145+EKM!F145+TSR!F145+PLKD!F145+MLPM!F145+KKD!F145+WYND!F145+KNR!F145+KSRGD!F145+SHS!F145</f>
        <v>0</v>
      </c>
      <c r="G145" s="21"/>
      <c r="H145" s="21">
        <f>TVM!H145+KLM!H145+PTA!H145+ALP!H145+KTM!H145+IDK!H145+EKM!H145+TSR!H145+PLKD!H145+MLPM!H145+KKD!H145+WYND!H145+KNR!H145+KSRGD!H145+SHS!H145</f>
        <v>0</v>
      </c>
      <c r="I145" s="21">
        <f>TVM!I145+KLM!I145+PTA!I145+ALP!I145+KTM!I145+IDK!I145+EKM!I145+TSR!I145+PLKD!I145+MLPM!I145+KKD!I145+WYND!I145+KNR!I145+KSRGD!I145+SHS!I145</f>
        <v>0</v>
      </c>
      <c r="J145" s="21">
        <f>TVM!J145+KLM!J145+PTA!J145+ALP!J145+KTM!J145+IDK!J145+EKM!J145+TSR!J145+PLKD!J145+MLPM!J145+KKD!J145+WYND!J145+KNR!J145+KSRGD!J145+SHS!J145</f>
        <v>0</v>
      </c>
      <c r="K145" s="21"/>
      <c r="L145" s="21">
        <f>TVM!L145+KLM!L145+PTA!L145+ALP!L145+KTM!L145+IDK!L145+EKM!L145+TSR!L145+PLKD!L145+MLPM!L145+KKD!L145+WYND!L145+KNR!L145+KSRGD!L145+SHS!L145</f>
        <v>0</v>
      </c>
      <c r="M145" s="21"/>
      <c r="N145" s="21">
        <f>TVM!N145+KLM!N145+PTA!N145+ALP!N145+KTM!N145+IDK!N145+EKM!N145+TSR!N145+PLKD!N145+MLPM!N145+KKD!N145+WYND!N145+KNR!N145+KSRGD!N145+SHS!N145</f>
        <v>0</v>
      </c>
      <c r="O145" s="21">
        <f>TVM!O145+KLM!O145+PTA!O145+ALP!O145+KTM!O145+IDK!O145+EKM!O145+TSR!O145+PLKD!O145+MLPM!O145+KKD!O145+WYND!O145+KNR!O145+KSRGD!O145+SHS!O145</f>
        <v>0</v>
      </c>
      <c r="P145" s="21">
        <f>TVM!P145+KLM!P145+PTA!P145+ALP!P145+KTM!P145+IDK!P145+EKM!P145+TSR!P145+PLKD!P145+MLPM!P145+KKD!P145+WYND!P145+KNR!P145+KSRGD!P145+SHS!P145</f>
        <v>0</v>
      </c>
      <c r="Q145" s="21"/>
      <c r="R145" s="22">
        <f>TVM!R145+KLM!R145+PTA!R145+ALP!R145+KTM!R145+IDK!R145+EKM!R145+TSR!R145+PLKD!R145+MLPM!R145+KKD!R145+WYND!R145+KNR!R145+KSRGD!R145+SHS!R145</f>
        <v>0</v>
      </c>
      <c r="S145" s="21"/>
      <c r="T145" s="22">
        <f>TVM!T145+KLM!T145+PTA!T145+ALP!T145+KTM!T145+IDK!T145+EKM!T145+TSR!T145+PLKD!T145+MLPM!T145+KKD!T145+WYND!T145+KNR!T145+KSRGD!T145+SHS!T145</f>
        <v>0</v>
      </c>
      <c r="U145" s="21"/>
      <c r="V145" s="21">
        <f>TVM!V145+KLM!V145+PTA!V145+ALP!V145+KTM!V145+IDK!V145+EKM!V145+TSR!V145+PLKD!V145+MLPM!V145+KKD!V145+WYND!V145+KNR!V145+KSRGD!V145+SHS!V145</f>
        <v>0</v>
      </c>
      <c r="W145" s="21"/>
      <c r="X145" s="77">
        <f t="shared" si="6"/>
        <v>0</v>
      </c>
      <c r="Y145" s="78"/>
    </row>
    <row r="146" spans="1:25" ht="31.5">
      <c r="A146" s="498"/>
      <c r="B146" s="496"/>
      <c r="C146" s="496"/>
      <c r="D146" s="43">
        <v>138</v>
      </c>
      <c r="E146" s="43" t="s">
        <v>228</v>
      </c>
      <c r="F146" s="21">
        <f>TVM!F146+KLM!F146+PTA!F146+ALP!F146+KTM!F146+IDK!F146+EKM!F146+TSR!F146+PLKD!F146+MLPM!F146+KKD!F146+WYND!F146+KNR!F146+KSRGD!F146+SHS!F146</f>
        <v>0</v>
      </c>
      <c r="G146" s="21"/>
      <c r="H146" s="21">
        <f>TVM!H146+KLM!H146+PTA!H146+ALP!H146+KTM!H146+IDK!H146+EKM!H146+TSR!H146+PLKD!H146+MLPM!H146+KKD!H146+WYND!H146+KNR!H146+KSRGD!H146+SHS!H146</f>
        <v>0</v>
      </c>
      <c r="I146" s="22">
        <f>TVM!I146+KLM!I146+PTA!I146+ALP!I146+KTM!I146+IDK!I146+EKM!I146+TSR!I146+PLKD!I146+MLPM!I146+KKD!I146+WYND!I146+KNR!I146+KSRGD!I146+SHS!I146</f>
        <v>0</v>
      </c>
      <c r="J146" s="22">
        <f>TVM!J146+KLM!J146+PTA!J146+ALP!J146+KTM!J146+IDK!J146+EKM!J146+TSR!J146+PLKD!J146+MLPM!J146+KKD!J146+WYND!J146+KNR!J146+KSRGD!J146+SHS!J146</f>
        <v>0</v>
      </c>
      <c r="K146" s="21"/>
      <c r="L146" s="22">
        <f>TVM!L146+KLM!L146+PTA!L146+ALP!L146+KTM!L146+IDK!L146+EKM!L146+TSR!L146+PLKD!L146+MLPM!L146+KKD!L146+WYND!L146+KNR!L146+KSRGD!L146+SHS!L146</f>
        <v>0</v>
      </c>
      <c r="M146" s="21"/>
      <c r="N146" s="21">
        <f>TVM!N146+KLM!N146+PTA!N146+ALP!N146+KTM!N146+IDK!N146+EKM!N146+TSR!N146+PLKD!N146+MLPM!N146+KKD!N146+WYND!N146+KNR!N146+KSRGD!N146+SHS!N146</f>
        <v>0</v>
      </c>
      <c r="O146" s="22">
        <f>TVM!O146+KLM!O146+PTA!O146+ALP!O146+KTM!O146+IDK!O146+EKM!O146+TSR!O146+PLKD!O146+MLPM!O146+KKD!O146+WYND!O146+KNR!O146+KSRGD!O146+SHS!O146</f>
        <v>0</v>
      </c>
      <c r="P146" s="22">
        <f>TVM!P146+KLM!P146+PTA!P146+ALP!P146+KTM!P146+IDK!P146+EKM!P146+TSR!P146+PLKD!P146+MLPM!P146+KKD!P146+WYND!P146+KNR!P146+KSRGD!P146+SHS!P146</f>
        <v>0</v>
      </c>
      <c r="Q146" s="21"/>
      <c r="R146" s="22">
        <f>TVM!R146+KLM!R146+PTA!R146+ALP!R146+KTM!R146+IDK!R146+EKM!R146+TSR!R146+PLKD!R146+MLPM!R146+KKD!R146+WYND!R146+KNR!R146+KSRGD!R146+SHS!R146</f>
        <v>0</v>
      </c>
      <c r="S146" s="21"/>
      <c r="T146" s="21">
        <f>TVM!T146+KLM!T146+PTA!T146+ALP!T146+KTM!T146+IDK!T146+EKM!T146+TSR!T146+PLKD!T146+MLPM!T146+KKD!T146+WYND!T146+KNR!T146+KSRGD!T146+SHS!T146</f>
        <v>0</v>
      </c>
      <c r="U146" s="21"/>
      <c r="V146" s="21">
        <f>TVM!V146+KLM!V146+PTA!V146+ALP!V146+KTM!V146+IDK!V146+EKM!V146+TSR!V146+PLKD!V146+MLPM!V146+KKD!V146+WYND!V146+KNR!V146+KSRGD!V146+SHS!V146</f>
        <v>0</v>
      </c>
      <c r="W146" s="21"/>
      <c r="X146" s="77">
        <f t="shared" si="6"/>
        <v>0</v>
      </c>
      <c r="Y146" s="78"/>
    </row>
    <row r="147" spans="1:25" ht="47.25">
      <c r="A147" s="498"/>
      <c r="B147" s="497" t="s">
        <v>229</v>
      </c>
      <c r="C147" s="497" t="s">
        <v>230</v>
      </c>
      <c r="D147" s="43">
        <v>139</v>
      </c>
      <c r="E147" s="43" t="s">
        <v>231</v>
      </c>
      <c r="F147" s="21">
        <f>TVM!F147+KLM!F147+PTA!F147+ALP!F147+KTM!F147+IDK!F147+EKM!F147+TSR!F147+PLKD!F147+MLPM!F147+KKD!F147+WYND!F147+KNR!F147+KSRGD!F147+SHS!F147</f>
        <v>0</v>
      </c>
      <c r="G147" s="21"/>
      <c r="H147" s="21">
        <f>TVM!H147+KLM!H147+PTA!H147+ALP!H147+KTM!H147+IDK!H147+EKM!H147+TSR!H147+PLKD!H147+MLPM!H147+KKD!H147+WYND!H147+KNR!H147+KSRGD!H147+SHS!H147</f>
        <v>0</v>
      </c>
      <c r="I147" s="21">
        <f>TVM!I147+KLM!I147+PTA!I147+ALP!I147+KTM!I147+IDK!I147+EKM!I147+TSR!I147+PLKD!I147+MLPM!I147+KKD!I147+WYND!I147+KNR!I147+KSRGD!I147+SHS!I147</f>
        <v>0</v>
      </c>
      <c r="J147" s="21">
        <f>TVM!J147+KLM!J147+PTA!J147+ALP!J147+KTM!J147+IDK!J147+EKM!J147+TSR!J147+PLKD!J147+MLPM!J147+KKD!J147+WYND!J147+KNR!J147+KSRGD!J147+SHS!J147</f>
        <v>0</v>
      </c>
      <c r="K147" s="21"/>
      <c r="L147" s="21">
        <f>TVM!L147+KLM!L147+PTA!L147+ALP!L147+KTM!L147+IDK!L147+EKM!L147+TSR!L147+PLKD!L147+MLPM!L147+KKD!L147+WYND!L147+KNR!L147+KSRGD!L147+SHS!L147</f>
        <v>0</v>
      </c>
      <c r="M147" s="21"/>
      <c r="N147" s="21">
        <f>TVM!N147+KLM!N147+PTA!N147+ALP!N147+KTM!N147+IDK!N147+EKM!N147+TSR!N147+PLKD!N147+MLPM!N147+KKD!N147+WYND!N147+KNR!N147+KSRGD!N147+SHS!N147</f>
        <v>0</v>
      </c>
      <c r="O147" s="21">
        <f>TVM!O147+KLM!O147+PTA!O147+ALP!O147+KTM!O147+IDK!O147+EKM!O147+TSR!O147+PLKD!O147+MLPM!O147+KKD!O147+WYND!O147+KNR!O147+KSRGD!O147+SHS!O147</f>
        <v>0</v>
      </c>
      <c r="P147" s="21">
        <f>TVM!P147+KLM!P147+PTA!P147+ALP!P147+KTM!P147+IDK!P147+EKM!P147+TSR!P147+PLKD!P147+MLPM!P147+KKD!P147+WYND!P147+KNR!P147+KSRGD!P147+SHS!P147</f>
        <v>0</v>
      </c>
      <c r="Q147" s="21"/>
      <c r="R147" s="21">
        <f>TVM!R147+KLM!R147+PTA!R147+ALP!R147+KTM!R147+IDK!R147+EKM!R147+TSR!R147+PLKD!R147+MLPM!R147+KKD!R147+WYND!R147+KNR!R147+KSRGD!R147+SHS!R147</f>
        <v>0</v>
      </c>
      <c r="S147" s="21"/>
      <c r="T147" s="22">
        <f>TVM!T147+KLM!T147+PTA!T147+ALP!T147+KTM!T147+IDK!T147+EKM!T147+TSR!T147+PLKD!T147+MLPM!T147+KKD!T147+WYND!T147+KNR!T147+KSRGD!T147+SHS!T147</f>
        <v>14</v>
      </c>
      <c r="U147" s="21"/>
      <c r="V147" s="21">
        <f>TVM!V147+KLM!V147+PTA!V147+ALP!V147+KTM!V147+IDK!V147+EKM!V147+TSR!V147+PLKD!V147+MLPM!V147+KKD!V147+WYND!V147+KNR!V147+KSRGD!V147+SHS!V147</f>
        <v>0</v>
      </c>
      <c r="W147" s="21"/>
      <c r="X147" s="77">
        <f t="shared" si="6"/>
        <v>14</v>
      </c>
      <c r="Y147" s="78" t="s">
        <v>536</v>
      </c>
    </row>
    <row r="148" spans="1:25" ht="90.75" customHeight="1">
      <c r="A148" s="498"/>
      <c r="B148" s="498"/>
      <c r="C148" s="498"/>
      <c r="D148" s="43">
        <v>140</v>
      </c>
      <c r="E148" s="43" t="s">
        <v>232</v>
      </c>
      <c r="F148" s="21">
        <f>TVM!F148+KLM!F148+PTA!F148+ALP!F148+KTM!F148+IDK!F148+EKM!F148+TSR!F148+PLKD!F148+MLPM!F148+KKD!F148+WYND!F148+KNR!F148+KSRGD!F148+SHS!F148</f>
        <v>0</v>
      </c>
      <c r="G148" s="21"/>
      <c r="H148" s="21">
        <f>TVM!H148+KLM!H148+PTA!H148+ALP!H148+KTM!H148+IDK!H148+EKM!H148+TSR!H148+PLKD!H148+MLPM!H148+KKD!H148+WYND!H148+KNR!H148+KSRGD!H148+SHS!H148</f>
        <v>0</v>
      </c>
      <c r="I148" s="21">
        <f>TVM!I148+KLM!I148+PTA!I148+ALP!I148+KTM!I148+IDK!I148+EKM!I148+TSR!I148+PLKD!I148+MLPM!I148+KKD!I148+WYND!I148+KNR!I148+KSRGD!I148+SHS!I148</f>
        <v>0</v>
      </c>
      <c r="J148" s="21">
        <f>TVM!J148+KLM!J148+PTA!J148+ALP!J148+KTM!J148+IDK!J148+EKM!J148+TSR!J148+PLKD!J148+MLPM!J148+KKD!J148+WYND!J148+KNR!J148+KSRGD!J148+SHS!J148</f>
        <v>0</v>
      </c>
      <c r="K148" s="21"/>
      <c r="L148" s="21">
        <f>TVM!L148+KLM!L148+PTA!L148+ALP!L148+KTM!L148+IDK!L148+EKM!L148+TSR!L148+PLKD!L148+MLPM!L148+KKD!L148+WYND!L148+KNR!L148+KSRGD!L148+SHS!L148</f>
        <v>0</v>
      </c>
      <c r="M148" s="21"/>
      <c r="N148" s="21">
        <f>TVM!N148+KLM!N148+PTA!N148+ALP!N148+KTM!N148+IDK!N148+EKM!N148+TSR!N148+PLKD!N148+MLPM!N148+KKD!N148+WYND!N148+KNR!N148+KSRGD!N148+SHS!N148</f>
        <v>0</v>
      </c>
      <c r="O148" s="21">
        <f>TVM!O148+KLM!O148+PTA!O148+ALP!O148+KTM!O148+IDK!O148+EKM!O148+TSR!O148+PLKD!O148+MLPM!O148+KKD!O148+WYND!O148+KNR!O148+KSRGD!O148+SHS!O148</f>
        <v>0</v>
      </c>
      <c r="P148" s="21">
        <f>TVM!P148+KLM!P148+PTA!P148+ALP!P148+KTM!P148+IDK!P148+EKM!P148+TSR!P148+PLKD!P148+MLPM!P148+KKD!P148+WYND!P148+KNR!P148+KSRGD!P148+SHS!P148</f>
        <v>0</v>
      </c>
      <c r="Q148" s="21"/>
      <c r="R148" s="21">
        <f>TVM!R148+KLM!R148+PTA!R148+ALP!R148+KTM!R148+IDK!R148+EKM!R148+TSR!R148+PLKD!R148+MLPM!R148+KKD!R148+WYND!R148+KNR!R148+KSRGD!R148+SHS!R148</f>
        <v>0</v>
      </c>
      <c r="S148" s="21"/>
      <c r="T148" s="22">
        <f>TVM!T148+KLM!T148+PTA!T148+ALP!T148+KTM!T148+IDK!T148+EKM!T148+TSR!T148+PLKD!T148+MLPM!T148+KKD!T148+WYND!T148+KNR!T148+KSRGD!T148+SHS!T148</f>
        <v>34.269999999999996</v>
      </c>
      <c r="U148" s="21"/>
      <c r="V148" s="21">
        <f>TVM!V148+KLM!V148+PTA!V148+ALP!V148+KTM!V148+IDK!V148+EKM!V148+TSR!V148+PLKD!V148+MLPM!V148+KKD!V148+WYND!V148+KNR!V148+KSRGD!V148+SHS!V148</f>
        <v>0</v>
      </c>
      <c r="W148" s="21"/>
      <c r="X148" s="22">
        <f t="shared" si="6"/>
        <v>34.269999999999996</v>
      </c>
      <c r="Y148" s="61" t="s">
        <v>537</v>
      </c>
    </row>
    <row r="149" spans="1:25" ht="31.5" hidden="1">
      <c r="A149" s="498"/>
      <c r="B149" s="496"/>
      <c r="C149" s="496"/>
      <c r="D149" s="43">
        <v>141</v>
      </c>
      <c r="E149" s="43" t="s">
        <v>233</v>
      </c>
      <c r="F149" s="21">
        <f>TVM!F149+KLM!F149+PTA!F149+ALP!F149+KTM!F149+IDK!F149+EKM!F149+TSR!F149+PLKD!F149+MLPM!F149+KKD!F149+WYND!F149+KNR!F149+KSRGD!F149+SHS!F149</f>
        <v>0</v>
      </c>
      <c r="G149" s="21"/>
      <c r="H149" s="21">
        <f>TVM!H149+KLM!H149+PTA!H149+ALP!H149+KTM!H149+IDK!H149+EKM!H149+TSR!H149+PLKD!H149+MLPM!H149+KKD!H149+WYND!H149+KNR!H149+KSRGD!H149+SHS!H149</f>
        <v>0</v>
      </c>
      <c r="I149" s="21">
        <f>TVM!I149+KLM!I149+PTA!I149+ALP!I149+KTM!I149+IDK!I149+EKM!I149+TSR!I149+PLKD!I149+MLPM!I149+KKD!I149+WYND!I149+KNR!I149+KSRGD!I149+SHS!I149</f>
        <v>0</v>
      </c>
      <c r="J149" s="21">
        <f>TVM!J149+KLM!J149+PTA!J149+ALP!J149+KTM!J149+IDK!J149+EKM!J149+TSR!J149+PLKD!J149+MLPM!J149+KKD!J149+WYND!J149+KNR!J149+KSRGD!J149+SHS!J149</f>
        <v>0</v>
      </c>
      <c r="K149" s="21"/>
      <c r="L149" s="21">
        <f>TVM!L149+KLM!L149+PTA!L149+ALP!L149+KTM!L149+IDK!L149+EKM!L149+TSR!L149+PLKD!L149+MLPM!L149+KKD!L149+WYND!L149+KNR!L149+KSRGD!L149+SHS!L149</f>
        <v>0</v>
      </c>
      <c r="M149" s="21"/>
      <c r="N149" s="21">
        <f>TVM!N149+KLM!N149+PTA!N149+ALP!N149+KTM!N149+IDK!N149+EKM!N149+TSR!N149+PLKD!N149+MLPM!N149+KKD!N149+WYND!N149+KNR!N149+KSRGD!N149+SHS!N149</f>
        <v>0</v>
      </c>
      <c r="O149" s="21">
        <f>TVM!O149+KLM!O149+PTA!O149+ALP!O149+KTM!O149+IDK!O149+EKM!O149+TSR!O149+PLKD!O149+MLPM!O149+KKD!O149+WYND!O149+KNR!O149+KSRGD!O149+SHS!O149</f>
        <v>0</v>
      </c>
      <c r="P149" s="21">
        <f>TVM!P149+KLM!P149+PTA!P149+ALP!P149+KTM!P149+IDK!P149+EKM!P149+TSR!P149+PLKD!P149+MLPM!P149+KKD!P149+WYND!P149+KNR!P149+KSRGD!P149+SHS!P149</f>
        <v>0</v>
      </c>
      <c r="Q149" s="21"/>
      <c r="R149" s="21">
        <f>TVM!R149+KLM!R149+PTA!R149+ALP!R149+KTM!R149+IDK!R149+EKM!R149+TSR!R149+PLKD!R149+MLPM!R149+KKD!R149+WYND!R149+KNR!R149+KSRGD!R149+SHS!R149</f>
        <v>0</v>
      </c>
      <c r="S149" s="21"/>
      <c r="T149" s="21">
        <f>TVM!T149+KLM!T149+PTA!T149+ALP!T149+KTM!T149+IDK!T149+EKM!T149+TSR!T149+PLKD!T149+MLPM!T149+KKD!T149+WYND!T149+KNR!T149+KSRGD!T149+SHS!T149</f>
        <v>0</v>
      </c>
      <c r="U149" s="21"/>
      <c r="V149" s="21">
        <f>TVM!V149+KLM!V149+PTA!V149+ALP!V149+KTM!V149+IDK!V149+EKM!V149+TSR!V149+PLKD!V149+MLPM!V149+KKD!V149+WYND!V149+KNR!V149+KSRGD!V149+SHS!V149</f>
        <v>0</v>
      </c>
      <c r="W149" s="21"/>
      <c r="X149" s="22">
        <f t="shared" si="6"/>
        <v>0</v>
      </c>
      <c r="Y149" s="46"/>
    </row>
    <row r="150" spans="1:25" ht="78.75">
      <c r="A150" s="498"/>
      <c r="B150" s="497" t="s">
        <v>234</v>
      </c>
      <c r="C150" s="497" t="s">
        <v>235</v>
      </c>
      <c r="D150" s="43">
        <v>142</v>
      </c>
      <c r="E150" s="43" t="s">
        <v>236</v>
      </c>
      <c r="F150" s="21">
        <f>TVM!F150+KLM!F150+PTA!F150+ALP!F150+KTM!F150+IDK!F150+EKM!F150+TSR!F150+PLKD!F150+MLPM!F150+KKD!F150+WYND!F150+KNR!F150+KSRGD!F150+SHS!F150</f>
        <v>0</v>
      </c>
      <c r="G150" s="21"/>
      <c r="H150" s="21">
        <f>TVM!H150+KLM!H150+PTA!H150+ALP!H150+KTM!H150+IDK!H150+EKM!H150+TSR!H150+PLKD!H150+MLPM!H150+KKD!H150+WYND!H150+KNR!H150+KSRGD!H150+SHS!H150</f>
        <v>0</v>
      </c>
      <c r="I150" s="21">
        <f>TVM!I150+KLM!I150+PTA!I150+ALP!I150+KTM!I150+IDK!I150+EKM!I150+TSR!I150+PLKD!I150+MLPM!I150+KKD!I150+WYND!I150+KNR!I150+KSRGD!I150+SHS!I150</f>
        <v>0</v>
      </c>
      <c r="J150" s="21">
        <f>TVM!J150+KLM!J150+PTA!J150+ALP!J150+KTM!J150+IDK!J150+EKM!J150+TSR!J150+PLKD!J150+MLPM!J150+KKD!J150+WYND!J150+KNR!J150+KSRGD!J150+SHS!J150</f>
        <v>0</v>
      </c>
      <c r="K150" s="21"/>
      <c r="L150" s="21">
        <f>TVM!L150+KLM!L150+PTA!L150+ALP!L150+KTM!L150+IDK!L150+EKM!L150+TSR!L150+PLKD!L150+MLPM!L150+KKD!L150+WYND!L150+KNR!L150+KSRGD!L150+SHS!L150</f>
        <v>0</v>
      </c>
      <c r="M150" s="21"/>
      <c r="N150" s="21">
        <f>TVM!N150+KLM!N150+PTA!N150+ALP!N150+KTM!N150+IDK!N150+EKM!N150+TSR!N150+PLKD!N150+MLPM!N150+KKD!N150+WYND!N150+KNR!N150+KSRGD!N150+SHS!N150</f>
        <v>0</v>
      </c>
      <c r="O150" s="21">
        <f>TVM!O150+KLM!O150+PTA!O150+ALP!O150+KTM!O150+IDK!O150+EKM!O150+TSR!O150+PLKD!O150+MLPM!O150+KKD!O150+WYND!O150+KNR!O150+KSRGD!O150+SHS!O150</f>
        <v>0</v>
      </c>
      <c r="P150" s="21">
        <f>TVM!P150+KLM!P150+PTA!P150+ALP!P150+KTM!P150+IDK!P150+EKM!P150+TSR!P150+PLKD!P150+MLPM!P150+KKD!P150+WYND!P150+KNR!P150+KSRGD!P150+SHS!P150</f>
        <v>0</v>
      </c>
      <c r="Q150" s="21"/>
      <c r="R150" s="21">
        <f>TVM!R150+KLM!R150+PTA!R150+ALP!R150+KTM!R150+IDK!R150+EKM!R150+TSR!R150+PLKD!R150+MLPM!R150+KKD!R150+WYND!R150+KNR!R150+KSRGD!R150+SHS!R150</f>
        <v>0</v>
      </c>
      <c r="S150" s="21"/>
      <c r="T150" s="22">
        <f>TVM!T150+KLM!T150+PTA!T150+ALP!T150+KTM!T150+IDK!T150+EKM!T150+TSR!T150+PLKD!T150+MLPM!T150+KKD!T150+WYND!T150+KNR!T150+KSRGD!T150+SHS!T150</f>
        <v>15481.461359999999</v>
      </c>
      <c r="U150" s="21" t="s">
        <v>538</v>
      </c>
      <c r="V150" s="21">
        <f>TVM!V150+KLM!V150+PTA!V150+ALP!V150+KTM!V150+IDK!V150+EKM!V150+TSR!V150+PLKD!V150+MLPM!V150+KKD!V150+WYND!V150+KNR!V150+KSRGD!V150+SHS!V150</f>
        <v>0</v>
      </c>
      <c r="W150" s="21"/>
      <c r="X150" s="22">
        <f t="shared" si="6"/>
        <v>15481.461359999999</v>
      </c>
      <c r="Y150" s="451" t="s">
        <v>538</v>
      </c>
    </row>
    <row r="151" spans="1:25" ht="47.25">
      <c r="A151" s="498"/>
      <c r="B151" s="498"/>
      <c r="C151" s="498"/>
      <c r="D151" s="43">
        <v>143</v>
      </c>
      <c r="E151" s="43" t="s">
        <v>237</v>
      </c>
      <c r="F151" s="21">
        <f>TVM!F151+KLM!F151+PTA!F151+ALP!F151+KTM!F151+IDK!F151+EKM!F151+TSR!F151+PLKD!F151+MLPM!F151+KKD!F151+WYND!F151+KNR!F151+KSRGD!F151+SHS!F151</f>
        <v>0</v>
      </c>
      <c r="G151" s="21"/>
      <c r="H151" s="21">
        <f>TVM!H151+KLM!H151+PTA!H151+ALP!H151+KTM!H151+IDK!H151+EKM!H151+TSR!H151+PLKD!H151+MLPM!H151+KKD!H151+WYND!H151+KNR!H151+KSRGD!H151+SHS!H151</f>
        <v>0</v>
      </c>
      <c r="I151" s="21">
        <f>TVM!I151+KLM!I151+PTA!I151+ALP!I151+KTM!I151+IDK!I151+EKM!I151+TSR!I151+PLKD!I151+MLPM!I151+KKD!I151+WYND!I151+KNR!I151+KSRGD!I151+SHS!I151</f>
        <v>0</v>
      </c>
      <c r="J151" s="21">
        <f>TVM!J151+KLM!J151+PTA!J151+ALP!J151+KTM!J151+IDK!J151+EKM!J151+TSR!J151+PLKD!J151+MLPM!J151+KKD!J151+WYND!J151+KNR!J151+KSRGD!J151+SHS!J151</f>
        <v>0</v>
      </c>
      <c r="K151" s="21"/>
      <c r="L151" s="21">
        <f>TVM!L151+KLM!L151+PTA!L151+ALP!L151+KTM!L151+IDK!L151+EKM!L151+TSR!L151+PLKD!L151+MLPM!L151+KKD!L151+WYND!L151+KNR!L151+KSRGD!L151+SHS!L151</f>
        <v>0</v>
      </c>
      <c r="M151" s="21"/>
      <c r="N151" s="21">
        <f>TVM!N151+KLM!N151+PTA!N151+ALP!N151+KTM!N151+IDK!N151+EKM!N151+TSR!N151+PLKD!N151+MLPM!N151+KKD!N151+WYND!N151+KNR!N151+KSRGD!N151+SHS!N151</f>
        <v>0</v>
      </c>
      <c r="O151" s="21">
        <f>TVM!O151+KLM!O151+PTA!O151+ALP!O151+KTM!O151+IDK!O151+EKM!O151+TSR!O151+PLKD!O151+MLPM!O151+KKD!O151+WYND!O151+KNR!O151+KSRGD!O151+SHS!O151</f>
        <v>0</v>
      </c>
      <c r="P151" s="21">
        <f>TVM!P151+KLM!P151+PTA!P151+ALP!P151+KTM!P151+IDK!P151+EKM!P151+TSR!P151+PLKD!P151+MLPM!P151+KKD!P151+WYND!P151+KNR!P151+KSRGD!P151+SHS!P151</f>
        <v>0</v>
      </c>
      <c r="Q151" s="21"/>
      <c r="R151" s="21">
        <f>TVM!R151+KLM!R151+PTA!R151+ALP!R151+KTM!R151+IDK!R151+EKM!R151+TSR!R151+PLKD!R151+MLPM!R151+KKD!R151+WYND!R151+KNR!R151+KSRGD!R151+SHS!R151</f>
        <v>0</v>
      </c>
      <c r="S151" s="21"/>
      <c r="T151" s="21">
        <f>TVM!T151+KLM!T151+PTA!T151+ALP!T151+KTM!T151+IDK!T151+EKM!T151+TSR!T151+PLKD!T151+MLPM!T151+KKD!T151+WYND!T151+KNR!T151+KSRGD!T151+SHS!T151</f>
        <v>0</v>
      </c>
      <c r="U151" s="21"/>
      <c r="V151" s="21">
        <f>TVM!V151+KLM!V151+PTA!V151+ALP!V151+KTM!V151+IDK!V151+EKM!V151+TSR!V151+PLKD!V151+MLPM!V151+KKD!V151+WYND!V151+KNR!V151+KSRGD!V151+SHS!V151</f>
        <v>0</v>
      </c>
      <c r="W151" s="21"/>
      <c r="X151" s="22">
        <f t="shared" si="6"/>
        <v>0</v>
      </c>
      <c r="Y151" s="46"/>
    </row>
    <row r="152" spans="1:25" ht="31.5">
      <c r="A152" s="498"/>
      <c r="B152" s="498"/>
      <c r="C152" s="498"/>
      <c r="D152" s="43">
        <v>144</v>
      </c>
      <c r="E152" s="43" t="s">
        <v>238</v>
      </c>
      <c r="F152" s="21">
        <f>TVM!F152+KLM!F152+PTA!F152+ALP!F152+KTM!F152+IDK!F152+EKM!F152+TSR!F152+PLKD!F152+MLPM!F152+KKD!F152+WYND!F152+KNR!F152+KSRGD!F152+SHS!F152</f>
        <v>0</v>
      </c>
      <c r="G152" s="21"/>
      <c r="H152" s="21">
        <f>TVM!H152+KLM!H152+PTA!H152+ALP!H152+KTM!H152+IDK!H152+EKM!H152+TSR!H152+PLKD!H152+MLPM!H152+KKD!H152+WYND!H152+KNR!H152+KSRGD!H152+SHS!H152</f>
        <v>0</v>
      </c>
      <c r="I152" s="21">
        <f>TVM!I152+KLM!I152+PTA!I152+ALP!I152+KTM!I152+IDK!I152+EKM!I152+TSR!I152+PLKD!I152+MLPM!I152+KKD!I152+WYND!I152+KNR!I152+KSRGD!I152+SHS!I152</f>
        <v>0</v>
      </c>
      <c r="J152" s="21">
        <f>TVM!J152+KLM!J152+PTA!J152+ALP!J152+KTM!J152+IDK!J152+EKM!J152+TSR!J152+PLKD!J152+MLPM!J152+KKD!J152+WYND!J152+KNR!J152+KSRGD!J152+SHS!J152</f>
        <v>0</v>
      </c>
      <c r="K152" s="21"/>
      <c r="L152" s="21">
        <f>TVM!L152+KLM!L152+PTA!L152+ALP!L152+KTM!L152+IDK!L152+EKM!L152+TSR!L152+PLKD!L152+MLPM!L152+KKD!L152+WYND!L152+KNR!L152+KSRGD!L152+SHS!L152</f>
        <v>0</v>
      </c>
      <c r="M152" s="21"/>
      <c r="N152" s="21">
        <f>TVM!N152+KLM!N152+PTA!N152+ALP!N152+KTM!N152+IDK!N152+EKM!N152+TSR!N152+PLKD!N152+MLPM!N152+KKD!N152+WYND!N152+KNR!N152+KSRGD!N152+SHS!N152</f>
        <v>0</v>
      </c>
      <c r="O152" s="21">
        <f>TVM!O152+KLM!O152+PTA!O152+ALP!O152+KTM!O152+IDK!O152+EKM!O152+TSR!O152+PLKD!O152+MLPM!O152+KKD!O152+WYND!O152+KNR!O152+KSRGD!O152+SHS!O152</f>
        <v>0</v>
      </c>
      <c r="P152" s="21">
        <f>TVM!P152+KLM!P152+PTA!P152+ALP!P152+KTM!P152+IDK!P152+EKM!P152+TSR!P152+PLKD!P152+MLPM!P152+KKD!P152+WYND!P152+KNR!P152+KSRGD!P152+SHS!P152</f>
        <v>0</v>
      </c>
      <c r="Q152" s="21"/>
      <c r="R152" s="21">
        <f>TVM!R152+KLM!R152+PTA!R152+ALP!R152+KTM!R152+IDK!R152+EKM!R152+TSR!R152+PLKD!R152+MLPM!R152+KKD!R152+WYND!R152+KNR!R152+KSRGD!R152+SHS!R152</f>
        <v>0</v>
      </c>
      <c r="S152" s="21"/>
      <c r="T152" s="21">
        <f>TVM!T152+KLM!T152+PTA!T152+ALP!T152+KTM!T152+IDK!T152+EKM!T152+TSR!T152+PLKD!T152+MLPM!T152+KKD!T152+WYND!T152+KNR!T152+KSRGD!T152+SHS!T152</f>
        <v>0</v>
      </c>
      <c r="U152" s="21"/>
      <c r="V152" s="21">
        <f>TVM!V152+KLM!V152+PTA!V152+ALP!V152+KTM!V152+IDK!V152+EKM!V152+TSR!V152+PLKD!V152+MLPM!V152+KKD!V152+WYND!V152+KNR!V152+KSRGD!V152+SHS!V152</f>
        <v>0</v>
      </c>
      <c r="W152" s="21"/>
      <c r="X152" s="22">
        <f t="shared" si="6"/>
        <v>0</v>
      </c>
      <c r="Y152" s="46"/>
    </row>
    <row r="153" spans="1:25" ht="47.25">
      <c r="A153" s="498"/>
      <c r="B153" s="496"/>
      <c r="C153" s="496"/>
      <c r="D153" s="43">
        <v>145</v>
      </c>
      <c r="E153" s="43" t="s">
        <v>295</v>
      </c>
      <c r="F153" s="21">
        <f>TVM!F153+KLM!F153+PTA!F153+ALP!F153+KTM!F153+IDK!F153+EKM!F153+TSR!F153+PLKD!F153+MLPM!F153+KKD!F153+WYND!F153+KNR!F153+KSRGD!F153+SHS!F153</f>
        <v>0</v>
      </c>
      <c r="G153" s="21"/>
      <c r="H153" s="21">
        <f>TVM!H153+KLM!H153+PTA!H153+ALP!H153+KTM!H153+IDK!H153+EKM!H153+TSR!H153+PLKD!H153+MLPM!H153+KKD!H153+WYND!H153+KNR!H153+KSRGD!H153+SHS!H153</f>
        <v>0</v>
      </c>
      <c r="I153" s="21">
        <f>TVM!I153+KLM!I153+PTA!I153+ALP!I153+KTM!I153+IDK!I153+EKM!I153+TSR!I153+PLKD!I153+MLPM!I153+KKD!I153+WYND!I153+KNR!I153+KSRGD!I153+SHS!I153</f>
        <v>0</v>
      </c>
      <c r="J153" s="21">
        <f>TVM!J153+KLM!J153+PTA!J153+ALP!J153+KTM!J153+IDK!J153+EKM!J153+TSR!J153+PLKD!J153+MLPM!J153+KKD!J153+WYND!J153+KNR!J153+KSRGD!J153+SHS!J153</f>
        <v>0</v>
      </c>
      <c r="K153" s="21"/>
      <c r="L153" s="21">
        <f>TVM!L153+KLM!L153+PTA!L153+ALP!L153+KTM!L153+IDK!L153+EKM!L153+TSR!L153+PLKD!L153+MLPM!L153+KKD!L153+WYND!L153+KNR!L153+KSRGD!L153+SHS!L153</f>
        <v>0</v>
      </c>
      <c r="M153" s="21"/>
      <c r="N153" s="21">
        <f>TVM!N153+KLM!N153+PTA!N153+ALP!N153+KTM!N153+IDK!N153+EKM!N153+TSR!N153+PLKD!N153+MLPM!N153+KKD!N153+WYND!N153+KNR!N153+KSRGD!N153+SHS!N153</f>
        <v>0</v>
      </c>
      <c r="O153" s="21">
        <f>TVM!O153+KLM!O153+PTA!O153+ALP!O153+KTM!O153+IDK!O153+EKM!O153+TSR!O153+PLKD!O153+MLPM!O153+KKD!O153+WYND!O153+KNR!O153+KSRGD!O153+SHS!O153</f>
        <v>0</v>
      </c>
      <c r="P153" s="21">
        <f>TVM!P153+KLM!P153+PTA!P153+ALP!P153+KTM!P153+IDK!P153+EKM!P153+TSR!P153+PLKD!P153+MLPM!P153+KKD!P153+WYND!P153+KNR!P153+KSRGD!P153+SHS!P153</f>
        <v>0</v>
      </c>
      <c r="Q153" s="21"/>
      <c r="R153" s="21">
        <f>TVM!R153+KLM!R153+PTA!R153+ALP!R153+KTM!R153+IDK!R153+EKM!R153+TSR!R153+PLKD!R153+MLPM!R153+KKD!R153+WYND!R153+KNR!R153+KSRGD!R153+SHS!R153</f>
        <v>0</v>
      </c>
      <c r="S153" s="21"/>
      <c r="T153" s="21">
        <f>TVM!T153+KLM!T153+PTA!T153+ALP!T153+KTM!T153+IDK!T153+EKM!T153+TSR!T153+PLKD!T153+MLPM!T153+KKD!T153+WYND!T153+KNR!T153+KSRGD!T153+SHS!T153</f>
        <v>0</v>
      </c>
      <c r="U153" s="21"/>
      <c r="V153" s="21">
        <f>TVM!V153+KLM!V153+PTA!V153+ALP!V153+KTM!V153+IDK!V153+EKM!V153+TSR!V153+PLKD!V153+MLPM!V153+KKD!V153+WYND!V153+KNR!V153+KSRGD!V153+SHS!V153</f>
        <v>0</v>
      </c>
      <c r="W153" s="21"/>
      <c r="X153" s="22">
        <f t="shared" si="6"/>
        <v>0</v>
      </c>
      <c r="Y153" s="46"/>
    </row>
    <row r="154" spans="1:25" ht="189">
      <c r="A154" s="498"/>
      <c r="B154" s="43" t="s">
        <v>240</v>
      </c>
      <c r="C154" s="43" t="s">
        <v>241</v>
      </c>
      <c r="D154" s="43">
        <v>146</v>
      </c>
      <c r="E154" s="43" t="s">
        <v>242</v>
      </c>
      <c r="F154" s="21">
        <f>TVM!F154+KLM!F154+PTA!F154+ALP!F154+KTM!F154+IDK!F154+EKM!F154+TSR!F154+PLKD!F154+MLPM!F154+KKD!F154+WYND!F154+KNR!F154+KSRGD!F154+SHS!F154</f>
        <v>0</v>
      </c>
      <c r="G154" s="21"/>
      <c r="H154" s="21">
        <f>TVM!H154+KLM!H154+PTA!H154+ALP!H154+KTM!H154+IDK!H154+EKM!H154+TSR!H154+PLKD!H154+MLPM!H154+KKD!H154+WYND!H154+KNR!H154+KSRGD!H154+SHS!H154</f>
        <v>0</v>
      </c>
      <c r="I154" s="21">
        <f>TVM!I154+KLM!I154+PTA!I154+ALP!I154+KTM!I154+IDK!I154+EKM!I154+TSR!I154+PLKD!I154+MLPM!I154+KKD!I154+WYND!I154+KNR!I154+KSRGD!I154+SHS!I154</f>
        <v>0</v>
      </c>
      <c r="J154" s="21">
        <f>TVM!J154+KLM!J154+PTA!J154+ALP!J154+KTM!J154+IDK!J154+EKM!J154+TSR!J154+PLKD!J154+MLPM!J154+KKD!J154+WYND!J154+KNR!J154+KSRGD!J154+SHS!J154</f>
        <v>0</v>
      </c>
      <c r="K154" s="21"/>
      <c r="L154" s="21">
        <f>TVM!L154+KLM!L154+PTA!L154+ALP!L154+KTM!L154+IDK!L154+EKM!L154+TSR!L154+PLKD!L154+MLPM!L154+KKD!L154+WYND!L154+KNR!L154+KSRGD!L154+SHS!L154</f>
        <v>0</v>
      </c>
      <c r="M154" s="21"/>
      <c r="N154" s="21">
        <f>TVM!N154+KLM!N154+PTA!N154+ALP!N154+KTM!N154+IDK!N154+EKM!N154+TSR!N154+PLKD!N154+MLPM!N154+KKD!N154+WYND!N154+KNR!N154+KSRGD!N154+SHS!N154</f>
        <v>0</v>
      </c>
      <c r="O154" s="21">
        <f>TVM!O154+KLM!O154+PTA!O154+ALP!O154+KTM!O154+IDK!O154+EKM!O154+TSR!O154+PLKD!O154+MLPM!O154+KKD!O154+WYND!O154+KNR!O154+KSRGD!O154+SHS!O154</f>
        <v>0</v>
      </c>
      <c r="P154" s="21">
        <f>TVM!P154+KLM!P154+PTA!P154+ALP!P154+KTM!P154+IDK!P154+EKM!P154+TSR!P154+PLKD!P154+MLPM!P154+KKD!P154+WYND!P154+KNR!P154+KSRGD!P154+SHS!P154</f>
        <v>0</v>
      </c>
      <c r="Q154" s="21"/>
      <c r="R154" s="21">
        <f>TVM!R154+KLM!R154+PTA!R154+ALP!R154+KTM!R154+IDK!R154+EKM!R154+TSR!R154+PLKD!R154+MLPM!R154+KKD!R154+WYND!R154+KNR!R154+KSRGD!R154+SHS!R154</f>
        <v>0</v>
      </c>
      <c r="S154" s="21"/>
      <c r="T154" s="21">
        <f>TVM!T154+KLM!T154+PTA!T154+ALP!T154+KTM!T154+IDK!T154+EKM!T154+TSR!T154+PLKD!T154+MLPM!T154+KKD!T154+WYND!T154+KNR!T154+KSRGD!T154+SHS!T154</f>
        <v>91.8</v>
      </c>
      <c r="U154" s="21"/>
      <c r="V154" s="21">
        <f>TVM!V154+KLM!V154+PTA!V154+ALP!V154+KTM!V154+IDK!V154+EKM!V154+TSR!V154+PLKD!V154+MLPM!V154+KKD!V154+WYND!V154+KNR!V154+KSRGD!V154+SHS!V154</f>
        <v>0</v>
      </c>
      <c r="W154" s="21"/>
      <c r="X154" s="22">
        <f t="shared" si="6"/>
        <v>91.8</v>
      </c>
      <c r="Y154" s="61" t="s">
        <v>539</v>
      </c>
    </row>
    <row r="155" spans="1:25" ht="31.5">
      <c r="A155" s="498"/>
      <c r="B155" s="43" t="s">
        <v>243</v>
      </c>
      <c r="C155" s="43" t="s">
        <v>244</v>
      </c>
      <c r="D155" s="43">
        <v>147</v>
      </c>
      <c r="E155" s="43" t="s">
        <v>125</v>
      </c>
      <c r="F155" s="21">
        <f>TVM!F155+KLM!F155+PTA!F155+ALP!F155+KTM!F155+IDK!F155+EKM!F155+TSR!F155+PLKD!F155+MLPM!F155+KKD!F155+WYND!F155+KNR!F155+KSRGD!F155+SHS!F155</f>
        <v>0</v>
      </c>
      <c r="G155" s="21"/>
      <c r="H155" s="21">
        <f>TVM!H155+KLM!H155+PTA!H155+ALP!H155+KTM!H155+IDK!H155+EKM!H155+TSR!H155+PLKD!H155+MLPM!H155+KKD!H155+WYND!H155+KNR!H155+KSRGD!H155+SHS!H155</f>
        <v>0</v>
      </c>
      <c r="I155" s="21">
        <f>TVM!I155+KLM!I155+PTA!I155+ALP!I155+KTM!I155+IDK!I155+EKM!I155+TSR!I155+PLKD!I155+MLPM!I155+KKD!I155+WYND!I155+KNR!I155+KSRGD!I155+SHS!I155</f>
        <v>0</v>
      </c>
      <c r="J155" s="21">
        <f>TVM!J155+KLM!J155+PTA!J155+ALP!J155+KTM!J155+IDK!J155+EKM!J155+TSR!J155+PLKD!J155+MLPM!J155+KKD!J155+WYND!J155+KNR!J155+KSRGD!J155+SHS!J155</f>
        <v>0</v>
      </c>
      <c r="K155" s="21"/>
      <c r="L155" s="21">
        <f>TVM!L155+KLM!L155+PTA!L155+ALP!L155+KTM!L155+IDK!L155+EKM!L155+TSR!L155+PLKD!L155+MLPM!L155+KKD!L155+WYND!L155+KNR!L155+KSRGD!L155+SHS!L155</f>
        <v>0</v>
      </c>
      <c r="M155" s="21"/>
      <c r="N155" s="21">
        <f>TVM!N155+KLM!N155+PTA!N155+ALP!N155+KTM!N155+IDK!N155+EKM!N155+TSR!N155+PLKD!N155+MLPM!N155+KKD!N155+WYND!N155+KNR!N155+KSRGD!N155+SHS!N155</f>
        <v>0</v>
      </c>
      <c r="O155" s="21">
        <f>TVM!O155+KLM!O155+PTA!O155+ALP!O155+KTM!O155+IDK!O155+EKM!O155+TSR!O155+PLKD!O155+MLPM!O155+KKD!O155+WYND!O155+KNR!O155+KSRGD!O155+SHS!O155</f>
        <v>0</v>
      </c>
      <c r="P155" s="21">
        <f>TVM!P155+KLM!P155+PTA!P155+ALP!P155+KTM!P155+IDK!P155+EKM!P155+TSR!P155+PLKD!P155+MLPM!P155+KKD!P155+WYND!P155+KNR!P155+KSRGD!P155+SHS!P155</f>
        <v>0</v>
      </c>
      <c r="Q155" s="21"/>
      <c r="R155" s="21">
        <f>TVM!R155+KLM!R155+PTA!R155+ALP!R155+KTM!R155+IDK!R155+EKM!R155+TSR!R155+PLKD!R155+MLPM!R155+KKD!R155+WYND!R155+KNR!R155+KSRGD!R155+SHS!R155</f>
        <v>0</v>
      </c>
      <c r="S155" s="21"/>
      <c r="T155" s="21">
        <f>TVM!T155+KLM!T155+PTA!T155+ALP!T155+KTM!T155+IDK!T155+EKM!T155+TSR!T155+PLKD!T155+MLPM!T155+KKD!T155+WYND!T155+KNR!T155+KSRGD!T155+SHS!T155</f>
        <v>0</v>
      </c>
      <c r="U155" s="21"/>
      <c r="V155" s="21">
        <f>TVM!V155+KLM!V155+PTA!V155+ALP!V155+KTM!V155+IDK!V155+EKM!V155+TSR!V155+PLKD!V155+MLPM!V155+KKD!V155+WYND!V155+KNR!V155+KSRGD!V155+SHS!V155</f>
        <v>0</v>
      </c>
      <c r="W155" s="21"/>
      <c r="X155" s="22">
        <f t="shared" si="6"/>
        <v>0</v>
      </c>
      <c r="Y155" s="46"/>
    </row>
    <row r="156" spans="1:25" ht="63" hidden="1">
      <c r="A156" s="498"/>
      <c r="B156" s="43" t="s">
        <v>245</v>
      </c>
      <c r="C156" s="43" t="s">
        <v>246</v>
      </c>
      <c r="D156" s="43">
        <v>148</v>
      </c>
      <c r="E156" s="43" t="s">
        <v>247</v>
      </c>
      <c r="F156" s="21">
        <f>TVM!F156+KLM!F156+PTA!F156+ALP!F156+KTM!F156+IDK!F156+EKM!F156+TSR!F156+PLKD!F156+MLPM!F156+KKD!F156+WYND!F156+KNR!F156+KSRGD!F156+SHS!F156</f>
        <v>0</v>
      </c>
      <c r="G156" s="21"/>
      <c r="H156" s="21">
        <f>TVM!H156+KLM!H156+PTA!H156+ALP!H156+KTM!H156+IDK!H156+EKM!H156+TSR!H156+PLKD!H156+MLPM!H156+KKD!H156+WYND!H156+KNR!H156+KSRGD!H156+SHS!H156</f>
        <v>0</v>
      </c>
      <c r="I156" s="21">
        <f>TVM!I156+KLM!I156+PTA!I156+ALP!I156+KTM!I156+IDK!I156+EKM!I156+TSR!I156+PLKD!I156+MLPM!I156+KKD!I156+WYND!I156+KNR!I156+KSRGD!I156+SHS!I156</f>
        <v>0</v>
      </c>
      <c r="J156" s="21">
        <f>TVM!J156+KLM!J156+PTA!J156+ALP!J156+KTM!J156+IDK!J156+EKM!J156+TSR!J156+PLKD!J156+MLPM!J156+KKD!J156+WYND!J156+KNR!J156+KSRGD!J156+SHS!J156</f>
        <v>0</v>
      </c>
      <c r="K156" s="21"/>
      <c r="L156" s="21">
        <f>TVM!L156+KLM!L156+PTA!L156+ALP!L156+KTM!L156+IDK!L156+EKM!L156+TSR!L156+PLKD!L156+MLPM!L156+KKD!L156+WYND!L156+KNR!L156+KSRGD!L156+SHS!L156</f>
        <v>0</v>
      </c>
      <c r="M156" s="21"/>
      <c r="N156" s="21">
        <f>TVM!N156+KLM!N156+PTA!N156+ALP!N156+KTM!N156+IDK!N156+EKM!N156+TSR!N156+PLKD!N156+MLPM!N156+KKD!N156+WYND!N156+KNR!N156+KSRGD!N156+SHS!N156</f>
        <v>0</v>
      </c>
      <c r="O156" s="21">
        <f>TVM!O156+KLM!O156+PTA!O156+ALP!O156+KTM!O156+IDK!O156+EKM!O156+TSR!O156+PLKD!O156+MLPM!O156+KKD!O156+WYND!O156+KNR!O156+KSRGD!O156+SHS!O156</f>
        <v>0</v>
      </c>
      <c r="P156" s="21">
        <f>TVM!P156+KLM!P156+PTA!P156+ALP!P156+KTM!P156+IDK!P156+EKM!P156+TSR!P156+PLKD!P156+MLPM!P156+KKD!P156+WYND!P156+KNR!P156+KSRGD!P156+SHS!P156</f>
        <v>0</v>
      </c>
      <c r="Q156" s="21"/>
      <c r="R156" s="21">
        <f>TVM!R156+KLM!R156+PTA!R156+ALP!R156+KTM!R156+IDK!R156+EKM!R156+TSR!R156+PLKD!R156+MLPM!R156+KKD!R156+WYND!R156+KNR!R156+KSRGD!R156+SHS!R156</f>
        <v>0</v>
      </c>
      <c r="S156" s="21"/>
      <c r="T156" s="22">
        <f>TVM!T156+KLM!T156+PTA!T156+ALP!T156+KTM!T156+IDK!T156+EKM!T156+TSR!T156+PLKD!T156+MLPM!T156+KKD!T156+WYND!T156+KNR!T156+KSRGD!T156+SHS!T156</f>
        <v>0</v>
      </c>
      <c r="U156" s="21"/>
      <c r="V156" s="21">
        <f>TVM!V156+KLM!V156+PTA!V156+ALP!V156+KTM!V156+IDK!V156+EKM!V156+TSR!V156+PLKD!V156+MLPM!V156+KKD!V156+WYND!V156+KNR!V156+KSRGD!V156+SHS!V156</f>
        <v>0</v>
      </c>
      <c r="W156" s="21"/>
      <c r="X156" s="22">
        <f t="shared" si="6"/>
        <v>0</v>
      </c>
      <c r="Y156" s="61"/>
    </row>
    <row r="157" spans="1:25" ht="63">
      <c r="A157" s="498"/>
      <c r="B157" s="43" t="s">
        <v>248</v>
      </c>
      <c r="C157" s="43" t="s">
        <v>249</v>
      </c>
      <c r="D157" s="43">
        <v>149</v>
      </c>
      <c r="E157" s="43" t="s">
        <v>250</v>
      </c>
      <c r="F157" s="21">
        <f>TVM!F157+KLM!F157+PTA!F157+ALP!F157+KTM!F157+IDK!F157+EKM!F157+TSR!F157+PLKD!F157+MLPM!F157+KKD!F157+WYND!F157+KNR!F157+KSRGD!F157+SHS!F157</f>
        <v>0</v>
      </c>
      <c r="G157" s="21"/>
      <c r="H157" s="21">
        <f>TVM!H157+KLM!H157+PTA!H157+ALP!H157+KTM!H157+IDK!H157+EKM!H157+TSR!H157+PLKD!H157+MLPM!H157+KKD!H157+WYND!H157+KNR!H157+KSRGD!H157+SHS!H157</f>
        <v>0</v>
      </c>
      <c r="I157" s="21">
        <f>TVM!I157+KLM!I157+PTA!I157+ALP!I157+KTM!I157+IDK!I157+EKM!I157+TSR!I157+PLKD!I157+MLPM!I157+KKD!I157+WYND!I157+KNR!I157+KSRGD!I157+SHS!I157</f>
        <v>0</v>
      </c>
      <c r="J157" s="21">
        <f>TVM!J157+KLM!J157+PTA!J157+ALP!J157+KTM!J157+IDK!J157+EKM!J157+TSR!J157+PLKD!J157+MLPM!J157+KKD!J157+WYND!J157+KNR!J157+KSRGD!J157+SHS!J157</f>
        <v>0</v>
      </c>
      <c r="K157" s="21"/>
      <c r="L157" s="21">
        <f>TVM!L157+KLM!L157+PTA!L157+ALP!L157+KTM!L157+IDK!L157+EKM!L157+TSR!L157+PLKD!L157+MLPM!L157+KKD!L157+WYND!L157+KNR!L157+KSRGD!L157+SHS!L157</f>
        <v>0</v>
      </c>
      <c r="M157" s="21"/>
      <c r="N157" s="21">
        <f>TVM!N157+KLM!N157+PTA!N157+ALP!N157+KTM!N157+IDK!N157+EKM!N157+TSR!N157+PLKD!N157+MLPM!N157+KKD!N157+WYND!N157+KNR!N157+KSRGD!N157+SHS!N157</f>
        <v>0</v>
      </c>
      <c r="O157" s="21">
        <f>TVM!O157+KLM!O157+PTA!O157+ALP!O157+KTM!O157+IDK!O157+EKM!O157+TSR!O157+PLKD!O157+MLPM!O157+KKD!O157+WYND!O157+KNR!O157+KSRGD!O157+SHS!O157</f>
        <v>0</v>
      </c>
      <c r="P157" s="21">
        <f>TVM!P157+KLM!P157+PTA!P157+ALP!P157+KTM!P157+IDK!P157+EKM!P157+TSR!P157+PLKD!P157+MLPM!P157+KKD!P157+WYND!P157+KNR!P157+KSRGD!P157+SHS!P157</f>
        <v>0</v>
      </c>
      <c r="Q157" s="21"/>
      <c r="R157" s="21">
        <f>TVM!R157+KLM!R157+PTA!R157+ALP!R157+KTM!R157+IDK!R157+EKM!R157+TSR!R157+PLKD!R157+MLPM!R157+KKD!R157+WYND!R157+KNR!R157+KSRGD!R157+SHS!R157</f>
        <v>0</v>
      </c>
      <c r="S157" s="21"/>
      <c r="T157" s="22">
        <f>TVM!T157+KLM!T157+PTA!T157+ALP!T157+KTM!T157+IDK!T157+EKM!T157+TSR!T157+PLKD!T157+MLPM!T157+KKD!T157+WYND!T157+KNR!T157+KSRGD!T157+SHS!T157</f>
        <v>45.3</v>
      </c>
      <c r="U157" s="21"/>
      <c r="V157" s="21">
        <f>TVM!V157+KLM!V157+PTA!V157+ALP!V157+KTM!V157+IDK!V157+EKM!V157+TSR!V157+PLKD!V157+MLPM!V157+KKD!V157+WYND!V157+KNR!V157+KSRGD!V157+SHS!V157</f>
        <v>0</v>
      </c>
      <c r="W157" s="21"/>
      <c r="X157" s="77">
        <f t="shared" si="6"/>
        <v>45.3</v>
      </c>
      <c r="Y157" s="78" t="s">
        <v>540</v>
      </c>
    </row>
    <row r="158" spans="1:25" ht="30.75" customHeight="1">
      <c r="A158" s="496"/>
      <c r="B158" s="500" t="s">
        <v>251</v>
      </c>
      <c r="C158" s="489"/>
      <c r="D158" s="490"/>
      <c r="E158" s="59"/>
      <c r="F158" s="74">
        <f t="shared" ref="F158:X158" si="7">SUM(F135:F157)</f>
        <v>0</v>
      </c>
      <c r="G158" s="74">
        <f t="shared" si="7"/>
        <v>0</v>
      </c>
      <c r="H158" s="74">
        <f t="shared" si="7"/>
        <v>0</v>
      </c>
      <c r="I158" s="74">
        <f t="shared" si="7"/>
        <v>0</v>
      </c>
      <c r="J158" s="74">
        <f t="shared" si="7"/>
        <v>0</v>
      </c>
      <c r="K158" s="74">
        <f t="shared" si="7"/>
        <v>0</v>
      </c>
      <c r="L158" s="74">
        <f t="shared" si="7"/>
        <v>0</v>
      </c>
      <c r="M158" s="74">
        <f t="shared" si="7"/>
        <v>0</v>
      </c>
      <c r="N158" s="74">
        <f t="shared" si="7"/>
        <v>0</v>
      </c>
      <c r="O158" s="74">
        <f t="shared" si="7"/>
        <v>0</v>
      </c>
      <c r="P158" s="74">
        <f t="shared" si="7"/>
        <v>0</v>
      </c>
      <c r="Q158" s="74">
        <f t="shared" si="7"/>
        <v>0</v>
      </c>
      <c r="R158" s="74">
        <f t="shared" si="7"/>
        <v>0</v>
      </c>
      <c r="S158" s="74">
        <f t="shared" si="7"/>
        <v>0</v>
      </c>
      <c r="T158" s="74">
        <f t="shared" si="7"/>
        <v>15698.031359999997</v>
      </c>
      <c r="U158" s="74">
        <f t="shared" si="7"/>
        <v>0</v>
      </c>
      <c r="V158" s="74">
        <f t="shared" si="7"/>
        <v>0</v>
      </c>
      <c r="W158" s="74">
        <f t="shared" si="7"/>
        <v>0</v>
      </c>
      <c r="X158" s="60">
        <f t="shared" si="7"/>
        <v>15698.031359999997</v>
      </c>
      <c r="Y158" s="87"/>
    </row>
    <row r="159" spans="1:25" ht="78.75">
      <c r="A159" s="499" t="s">
        <v>252</v>
      </c>
      <c r="B159" s="497" t="s">
        <v>253</v>
      </c>
      <c r="C159" s="497" t="s">
        <v>211</v>
      </c>
      <c r="D159" s="43">
        <v>150</v>
      </c>
      <c r="E159" s="43" t="s">
        <v>239</v>
      </c>
      <c r="F159" s="21">
        <f>TVM!F159+KLM!F159+PTA!F159+ALP!F159+KTM!F159+IDK!F159+EKM!F159+TSR!F159+PLKD!F159+MLPM!F159+KKD!F159+WYND!F159+KNR!F159+KSRGD!F159+SHS!F159</f>
        <v>0</v>
      </c>
      <c r="G159" s="21"/>
      <c r="H159" s="48">
        <f>TVM!H159+KLM!H159+PTA!H159+ALP!H159+KTM!H159+IDK!H159+EKM!H159+TSR!H159+PLKD!H159+MLPM!H159+KKD!H159+WYND!H159+KNR!H159+KSRGD!H159+SHS!H159</f>
        <v>2000</v>
      </c>
      <c r="I159" s="48">
        <f>TVM!I159+KLM!I159+PTA!I159+ALP!I159+KTM!I159+IDK!I159+EKM!I159+TSR!I159+PLKD!I159+MLPM!I159+KKD!I159+WYND!I159+KNR!I159+KSRGD!I159+SHS!I159</f>
        <v>0</v>
      </c>
      <c r="J159" s="48">
        <f>TVM!J159+KLM!J159+PTA!J159+ALP!J159+KTM!J159+IDK!J159+EKM!J159+TSR!J159+PLKD!J159+MLPM!J159+KKD!J159+WYND!J159+KNR!J159+KSRGD!J159+SHS!J159</f>
        <v>2000</v>
      </c>
      <c r="K159" s="21"/>
      <c r="L159" s="21">
        <f>TVM!L159+KLM!L159+PTA!L159+ALP!L159+KTM!L159+IDK!L159+EKM!L159+TSR!L159+PLKD!L159+MLPM!L159+KKD!L159+WYND!L159+KNR!L159+KSRGD!L159+SHS!L159</f>
        <v>0</v>
      </c>
      <c r="M159" s="21"/>
      <c r="N159" s="21">
        <f>TVM!N159+KLM!N159+PTA!N159+ALP!N159+KTM!N159+IDK!N159+EKM!N159+TSR!N159+PLKD!N159+MLPM!N159+KKD!N159+WYND!N159+KNR!N159+KSRGD!N159+SHS!N159</f>
        <v>0</v>
      </c>
      <c r="O159" s="21">
        <f>TVM!O159+KLM!O159+PTA!O159+ALP!O159+KTM!O159+IDK!O159+EKM!O159+TSR!O159+PLKD!O159+MLPM!O159+KKD!O159+WYND!O159+KNR!O159+KSRGD!O159+SHS!O159</f>
        <v>0</v>
      </c>
      <c r="P159" s="21">
        <f>TVM!P159+KLM!P159+PTA!P159+ALP!P159+KTM!P159+IDK!P159+EKM!P159+TSR!P159+PLKD!P159+MLPM!P159+KKD!P159+WYND!P159+KNR!P159+KSRGD!P159+SHS!P159</f>
        <v>0</v>
      </c>
      <c r="Q159" s="21"/>
      <c r="R159" s="21">
        <f>TVM!R159+KLM!R159+PTA!R159+ALP!R159+KTM!R159+IDK!R159+EKM!R159+TSR!R159+PLKD!R159+MLPM!R159+KKD!R159+WYND!R159+KNR!R159+KSRGD!R159+SHS!R159</f>
        <v>0</v>
      </c>
      <c r="S159" s="21"/>
      <c r="T159" s="48">
        <f>TVM!T159+KLM!T159+PTA!T159+ALP!T159+KTM!T159+IDK!T159+EKM!T159+TSR!T159+PLKD!T159+MLPM!T159+KKD!T159+WYND!T159+KNR!T159+KSRGD!T159+SHS!T159</f>
        <v>14</v>
      </c>
      <c r="U159" s="21"/>
      <c r="V159" s="21">
        <f>TVM!V159+KLM!V159+PTA!V159+ALP!V159+KTM!V159+IDK!V159+EKM!V159+TSR!V159+PLKD!V159+MLPM!V159+KKD!V159+WYND!V159+KNR!V159+KSRGD!V159+SHS!V159</f>
        <v>0</v>
      </c>
      <c r="W159" s="21"/>
      <c r="X159" s="22">
        <f t="shared" ref="X159:X215" si="8">F159+J159+L159+P159+R159+T159+V159</f>
        <v>2014</v>
      </c>
      <c r="Y159" s="455" t="s">
        <v>429</v>
      </c>
    </row>
    <row r="160" spans="1:25" ht="31.5">
      <c r="A160" s="498"/>
      <c r="B160" s="498"/>
      <c r="C160" s="498"/>
      <c r="D160" s="43">
        <v>151</v>
      </c>
      <c r="E160" s="43" t="s">
        <v>254</v>
      </c>
      <c r="F160" s="21">
        <f>TVM!F160+KLM!F160+PTA!F160+ALP!F160+KTM!F160+IDK!F160+EKM!F160+TSR!F160+PLKD!F160+MLPM!F160+KKD!F160+WYND!F160+KNR!F160+KSRGD!F160+SHS!F160</f>
        <v>0</v>
      </c>
      <c r="G160" s="21"/>
      <c r="H160" s="48">
        <f>TVM!H160+KLM!H160+PTA!H160+ALP!H160+KTM!H160+IDK!H160+EKM!H160+TSR!H160+PLKD!H160+MLPM!H160+KKD!H160+WYND!H160+KNR!H160+KSRGD!H160+SHS!H160</f>
        <v>0</v>
      </c>
      <c r="I160" s="48">
        <f>TVM!I160+KLM!I160+PTA!I160+ALP!I160+KTM!I160+IDK!I160+EKM!I160+TSR!I160+PLKD!I160+MLPM!I160+KKD!I160+WYND!I160+KNR!I160+KSRGD!I160+SHS!I160</f>
        <v>0</v>
      </c>
      <c r="J160" s="48">
        <f>TVM!J160+KLM!J160+PTA!J160+ALP!J160+KTM!J160+IDK!J160+EKM!J160+TSR!J160+PLKD!J160+MLPM!J160+KKD!J160+WYND!J160+KNR!J160+KSRGD!J160+SHS!J160</f>
        <v>0</v>
      </c>
      <c r="K160" s="21"/>
      <c r="L160" s="22">
        <f>TVM!L160+KLM!L160+PTA!L160+ALP!L160+KTM!L160+IDK!L160+EKM!L160+TSR!L160+PLKD!L160+MLPM!L160+KKD!L160+WYND!L160+KNR!L160+KSRGD!L160+SHS!L160</f>
        <v>0</v>
      </c>
      <c r="M160" s="21"/>
      <c r="N160" s="21">
        <f>TVM!N160+KLM!N160+PTA!N160+ALP!N160+KTM!N160+IDK!N160+EKM!N160+TSR!N160+PLKD!N160+MLPM!N160+KKD!N160+WYND!N160+KNR!N160+KSRGD!N160+SHS!N160</f>
        <v>0</v>
      </c>
      <c r="O160" s="21">
        <f>TVM!O160+KLM!O160+PTA!O160+ALP!O160+KTM!O160+IDK!O160+EKM!O160+TSR!O160+PLKD!O160+MLPM!O160+KKD!O160+WYND!O160+KNR!O160+KSRGD!O160+SHS!O160</f>
        <v>0</v>
      </c>
      <c r="P160" s="21">
        <f>TVM!P160+KLM!P160+PTA!P160+ALP!P160+KTM!P160+IDK!P160+EKM!P160+TSR!P160+PLKD!P160+MLPM!P160+KKD!P160+WYND!P160+KNR!P160+KSRGD!P160+SHS!P160</f>
        <v>0</v>
      </c>
      <c r="Q160" s="21"/>
      <c r="R160" s="21">
        <f>TVM!R160+KLM!R160+PTA!R160+ALP!R160+KTM!R160+IDK!R160+EKM!R160+TSR!R160+PLKD!R160+MLPM!R160+KKD!R160+WYND!R160+KNR!R160+KSRGD!R160+SHS!R160</f>
        <v>0</v>
      </c>
      <c r="S160" s="21"/>
      <c r="T160" s="48">
        <f>TVM!T160+KLM!T160+PTA!T160+ALP!T160+KTM!T160+IDK!T160+EKM!T160+TSR!T160+PLKD!T160+MLPM!T160+KKD!T160+WYND!T160+KNR!T160+KSRGD!T160+SHS!T160</f>
        <v>0</v>
      </c>
      <c r="U160" s="21"/>
      <c r="V160" s="21">
        <f>TVM!V160+KLM!V160+PTA!V160+ALP!V160+KTM!V160+IDK!V160+EKM!V160+TSR!V160+PLKD!V160+MLPM!V160+KKD!V160+WYND!V160+KNR!V160+KSRGD!V160+SHS!V160</f>
        <v>0</v>
      </c>
      <c r="W160" s="21"/>
      <c r="X160" s="22">
        <f t="shared" si="8"/>
        <v>0</v>
      </c>
      <c r="Y160" s="46"/>
    </row>
    <row r="161" spans="1:25" ht="49.5" customHeight="1">
      <c r="A161" s="498"/>
      <c r="B161" s="498"/>
      <c r="C161" s="498"/>
      <c r="D161" s="43">
        <v>152</v>
      </c>
      <c r="E161" s="43" t="s">
        <v>255</v>
      </c>
      <c r="F161" s="21">
        <f>TVM!F161+KLM!F161+PTA!F161+ALP!F161+KTM!F161+IDK!F161+EKM!F161+TSR!F161+PLKD!F161+MLPM!F161+KKD!F161+WYND!F161+KNR!F161+KSRGD!F161+SHS!F161</f>
        <v>0</v>
      </c>
      <c r="G161" s="21"/>
      <c r="H161" s="21">
        <f>TVM!H161+KLM!H161+PTA!H161+ALP!H161+KTM!H161+IDK!H161+EKM!H161+TSR!H161+PLKD!H161+MLPM!H161+KKD!H161+WYND!H161+KNR!H161+KSRGD!H161+SHS!H161</f>
        <v>0</v>
      </c>
      <c r="I161" s="21">
        <f>TVM!I161+KLM!I161+PTA!I161+ALP!I161+KTM!I161+IDK!I161+EKM!I161+TSR!I161+PLKD!I161+MLPM!I161+KKD!I161+WYND!I161+KNR!I161+KSRGD!I161+SHS!I161</f>
        <v>0</v>
      </c>
      <c r="J161" s="21">
        <f>TVM!J161+KLM!J161+PTA!J161+ALP!J161+KTM!J161+IDK!J161+EKM!J161+TSR!J161+PLKD!J161+MLPM!J161+KKD!J161+WYND!J161+KNR!J161+KSRGD!J161+SHS!J161</f>
        <v>0</v>
      </c>
      <c r="K161" s="21"/>
      <c r="L161" s="21">
        <f>TVM!L161+KLM!L161+PTA!L161+ALP!L161+KTM!L161+IDK!L161+EKM!L161+TSR!L161+PLKD!L161+MLPM!L161+KKD!L161+WYND!L161+KNR!L161+KSRGD!L161+SHS!L161</f>
        <v>0</v>
      </c>
      <c r="M161" s="21"/>
      <c r="N161" s="21">
        <f>TVM!N161+KLM!N161+PTA!N161+ALP!N161+KTM!N161+IDK!N161+EKM!N161+TSR!N161+PLKD!N161+MLPM!N161+KKD!N161+WYND!N161+KNR!N161+KSRGD!N161+SHS!N161</f>
        <v>0</v>
      </c>
      <c r="O161" s="21">
        <f>TVM!O161+KLM!O161+PTA!O161+ALP!O161+KTM!O161+IDK!O161+EKM!O161+TSR!O161+PLKD!O161+MLPM!O161+KKD!O161+WYND!O161+KNR!O161+KSRGD!O161+SHS!O161</f>
        <v>0</v>
      </c>
      <c r="P161" s="21">
        <f>TVM!P161+KLM!P161+PTA!P161+ALP!P161+KTM!P161+IDK!P161+EKM!P161+TSR!P161+PLKD!P161+MLPM!P161+KKD!P161+WYND!P161+KNR!P161+KSRGD!P161+SHS!P161</f>
        <v>0</v>
      </c>
      <c r="Q161" s="21"/>
      <c r="R161" s="21">
        <f>TVM!R161+KLM!R161+PTA!R161+ALP!R161+KTM!R161+IDK!R161+EKM!R161+TSR!R161+PLKD!R161+MLPM!R161+KKD!R161+WYND!R161+KNR!R161+KSRGD!R161+SHS!R161</f>
        <v>0</v>
      </c>
      <c r="S161" s="21"/>
      <c r="T161" s="48">
        <f>TVM!T161+KLM!T161+PTA!T161+ALP!T161+KTM!T161+IDK!T161+EKM!T161+TSR!T161+PLKD!T161+MLPM!T161+KKD!T161+WYND!T161+KNR!T161+KSRGD!T161+SHS!T161</f>
        <v>194.976</v>
      </c>
      <c r="U161" s="21"/>
      <c r="V161" s="21">
        <f>TVM!V161+KLM!V161+PTA!V161+ALP!V161+KTM!V161+IDK!V161+EKM!V161+TSR!V161+PLKD!V161+MLPM!V161+KKD!V161+WYND!V161+KNR!V161+KSRGD!V161+SHS!V161</f>
        <v>0</v>
      </c>
      <c r="W161" s="21"/>
      <c r="X161" s="22">
        <f t="shared" si="8"/>
        <v>194.976</v>
      </c>
      <c r="Y161" s="25" t="s">
        <v>541</v>
      </c>
    </row>
    <row r="162" spans="1:25" ht="63">
      <c r="A162" s="498"/>
      <c r="B162" s="496"/>
      <c r="C162" s="496"/>
      <c r="D162" s="43">
        <v>153</v>
      </c>
      <c r="E162" s="43" t="s">
        <v>256</v>
      </c>
      <c r="F162" s="21">
        <f>TVM!F162+KLM!F162+PTA!F162+ALP!F162+KTM!F162+IDK!F162+EKM!F162+TSR!F162+PLKD!F162+MLPM!F162+KKD!F162+WYND!F162+KNR!F162+KSRGD!F162+SHS!F162</f>
        <v>0</v>
      </c>
      <c r="G162" s="21"/>
      <c r="H162" s="21">
        <f>TVM!H162+KLM!H162+PTA!H162+ALP!H162+KTM!H162+IDK!H162+EKM!H162+TSR!H162+PLKD!H162+MLPM!H162+KKD!H162+WYND!H162+KNR!H162+KSRGD!H162+SHS!H162</f>
        <v>0</v>
      </c>
      <c r="I162" s="21">
        <f>TVM!I162+KLM!I162+PTA!I162+ALP!I162+KTM!I162+IDK!I162+EKM!I162+TSR!I162+PLKD!I162+MLPM!I162+KKD!I162+WYND!I162+KNR!I162+KSRGD!I162+SHS!I162</f>
        <v>0</v>
      </c>
      <c r="J162" s="21">
        <f>TVM!J162+KLM!J162+PTA!J162+ALP!J162+KTM!J162+IDK!J162+EKM!J162+TSR!J162+PLKD!J162+MLPM!J162+KKD!J162+WYND!J162+KNR!J162+KSRGD!J162+SHS!J162</f>
        <v>0</v>
      </c>
      <c r="K162" s="21"/>
      <c r="L162" s="21">
        <f>TVM!L162+KLM!L162+PTA!L162+ALP!L162+KTM!L162+IDK!L162+EKM!L162+TSR!L162+PLKD!L162+MLPM!L162+KKD!L162+WYND!L162+KNR!L162+KSRGD!L162+SHS!L162</f>
        <v>0</v>
      </c>
      <c r="M162" s="21"/>
      <c r="N162" s="21">
        <f>TVM!N162+KLM!N162+PTA!N162+ALP!N162+KTM!N162+IDK!N162+EKM!N162+TSR!N162+PLKD!N162+MLPM!N162+KKD!N162+WYND!N162+KNR!N162+KSRGD!N162+SHS!N162</f>
        <v>0</v>
      </c>
      <c r="O162" s="21">
        <f>TVM!O162+KLM!O162+PTA!O162+ALP!O162+KTM!O162+IDK!O162+EKM!O162+TSR!O162+PLKD!O162+MLPM!O162+KKD!O162+WYND!O162+KNR!O162+KSRGD!O162+SHS!O162</f>
        <v>0</v>
      </c>
      <c r="P162" s="21">
        <f>TVM!P162+KLM!P162+PTA!P162+ALP!P162+KTM!P162+IDK!P162+EKM!P162+TSR!P162+PLKD!P162+MLPM!P162+KKD!P162+WYND!P162+KNR!P162+KSRGD!P162+SHS!P162</f>
        <v>0</v>
      </c>
      <c r="Q162" s="21"/>
      <c r="R162" s="21">
        <f>TVM!R162+KLM!R162+PTA!R162+ALP!R162+KTM!R162+IDK!R162+EKM!R162+TSR!R162+PLKD!R162+MLPM!R162+KKD!R162+WYND!R162+KNR!R162+KSRGD!R162+SHS!R162</f>
        <v>0</v>
      </c>
      <c r="S162" s="21"/>
      <c r="T162" s="21">
        <f>TVM!T162+KLM!T162+PTA!T162+ALP!T162+KTM!T162+IDK!T162+EKM!T162+TSR!T162+PLKD!T162+MLPM!T162+KKD!T162+WYND!T162+KNR!T162+KSRGD!T162+SHS!T162</f>
        <v>6</v>
      </c>
      <c r="U162" s="21"/>
      <c r="V162" s="21">
        <f>TVM!V162+KLM!V162+PTA!V162+ALP!V162+KTM!V162+IDK!V162+EKM!V162+TSR!V162+PLKD!V162+MLPM!V162+KKD!V162+WYND!V162+KNR!V162+KSRGD!V162+SHS!V162</f>
        <v>0</v>
      </c>
      <c r="W162" s="21"/>
      <c r="X162" s="22">
        <f t="shared" si="8"/>
        <v>6</v>
      </c>
      <c r="Y162" s="46" t="s">
        <v>542</v>
      </c>
    </row>
    <row r="163" spans="1:25" ht="409.5">
      <c r="A163" s="498"/>
      <c r="B163" s="497" t="s">
        <v>257</v>
      </c>
      <c r="C163" s="497" t="s">
        <v>258</v>
      </c>
      <c r="D163" s="43">
        <v>154</v>
      </c>
      <c r="E163" s="43" t="s">
        <v>259</v>
      </c>
      <c r="F163" s="21">
        <f>TVM!F163+KLM!F163+PTA!F163+ALP!F163+KTM!F163+IDK!F163+EKM!F163+TSR!F163+PLKD!F163+MLPM!F163+KKD!F163+WYND!F163+KNR!F163+KSRGD!F163+SHS!F163</f>
        <v>0</v>
      </c>
      <c r="G163" s="21"/>
      <c r="H163" s="21">
        <f>TVM!H163+KLM!H163+PTA!H163+ALP!H163+KTM!H163+IDK!H163+EKM!H163+TSR!H163+PLKD!H163+MLPM!H163+KKD!H163+WYND!H163+KNR!H163+KSRGD!H163+SHS!H163</f>
        <v>0</v>
      </c>
      <c r="I163" s="21">
        <f>TVM!I163+KLM!I163+PTA!I163+ALP!I163+KTM!I163+IDK!I163+EKM!I163+TSR!I163+PLKD!I163+MLPM!I163+KKD!I163+WYND!I163+KNR!I163+KSRGD!I163+SHS!I163</f>
        <v>0</v>
      </c>
      <c r="J163" s="21">
        <f>TVM!J163+KLM!J163+PTA!J163+ALP!J163+KTM!J163+IDK!J163+EKM!J163+TSR!J163+PLKD!J163+MLPM!J163+KKD!J163+WYND!J163+KNR!J163+KSRGD!J163+SHS!J163</f>
        <v>0</v>
      </c>
      <c r="K163" s="21"/>
      <c r="L163" s="21">
        <f>TVM!L163+KLM!L163+PTA!L163+ALP!L163+KTM!L163+IDK!L163+EKM!L163+TSR!L163+PLKD!L163+MLPM!L163+KKD!L163+WYND!L163+KNR!L163+KSRGD!L163+SHS!L163</f>
        <v>0</v>
      </c>
      <c r="M163" s="21"/>
      <c r="N163" s="21">
        <f>TVM!N163+KLM!N163+PTA!N163+ALP!N163+KTM!N163+IDK!N163+EKM!N163+TSR!N163+PLKD!N163+MLPM!N163+KKD!N163+WYND!N163+KNR!N163+KSRGD!N163+SHS!N163</f>
        <v>0</v>
      </c>
      <c r="O163" s="22">
        <f>TVM!O163+KLM!O163+PTA!O163+ALP!O163+KTM!O163+IDK!O163+EKM!O163+TSR!O163+PLKD!O163+MLPM!O163+KKD!O163+WYND!O163+KNR!O163+KSRGD!O163+SHS!O163</f>
        <v>0</v>
      </c>
      <c r="P163" s="22">
        <f>TVM!P163+KLM!P163+PTA!P163+ALP!P163+KTM!P163+IDK!P163+EKM!P163+TSR!P163+PLKD!P163+MLPM!P163+KKD!P163+WYND!P163+KNR!P163+KSRGD!P163+SHS!P163</f>
        <v>5618.81</v>
      </c>
      <c r="Q163" s="21"/>
      <c r="R163" s="22">
        <f>TVM!R163+KLM!R163+PTA!R163+ALP!R163+KTM!R163+IDK!R163+EKM!R163+TSR!R163+PLKD!R163+MLPM!R163+KKD!R163+WYND!R163+KNR!R163+KSRGD!R163+SHS!R163</f>
        <v>10</v>
      </c>
      <c r="S163" s="21"/>
      <c r="T163" s="21">
        <f>TVM!T163+KLM!T163+PTA!T163+ALP!T163+KTM!T163+IDK!T163+EKM!T163+TSR!T163+PLKD!T163+MLPM!T163+KKD!T163+WYND!T163+KNR!T163+KSRGD!T163+SHS!T163</f>
        <v>0</v>
      </c>
      <c r="U163" s="21"/>
      <c r="V163" s="21">
        <f>TVM!V163+KLM!V163+PTA!V163+ALP!V163+KTM!V163+IDK!V163+EKM!V163+TSR!V163+PLKD!V163+MLPM!V163+KKD!V163+WYND!V163+KNR!V163+KSRGD!V163+SHS!V163</f>
        <v>0</v>
      </c>
      <c r="W163" s="21"/>
      <c r="X163" s="22">
        <f t="shared" si="8"/>
        <v>5628.81</v>
      </c>
      <c r="Y163" s="79" t="s">
        <v>1249</v>
      </c>
    </row>
    <row r="164" spans="1:25" ht="31.5">
      <c r="A164" s="498"/>
      <c r="B164" s="498"/>
      <c r="C164" s="498"/>
      <c r="D164" s="43">
        <v>155</v>
      </c>
      <c r="E164" s="43" t="s">
        <v>260</v>
      </c>
      <c r="F164" s="21">
        <f>TVM!F164+KLM!F164+PTA!F164+ALP!F164+KTM!F164+IDK!F164+EKM!F164+TSR!F164+PLKD!F164+MLPM!F164+KKD!F164+WYND!F164+KNR!F164+KSRGD!F164+SHS!F164</f>
        <v>0</v>
      </c>
      <c r="G164" s="21"/>
      <c r="H164" s="21">
        <f>TVM!H164+KLM!H164+PTA!H164+ALP!H164+KTM!H164+IDK!H164+EKM!H164+TSR!H164+PLKD!H164+MLPM!H164+KKD!H164+WYND!H164+KNR!H164+KSRGD!H164+SHS!H164</f>
        <v>0</v>
      </c>
      <c r="I164" s="21">
        <f>TVM!I164+KLM!I164+PTA!I164+ALP!I164+KTM!I164+IDK!I164+EKM!I164+TSR!I164+PLKD!I164+MLPM!I164+KKD!I164+WYND!I164+KNR!I164+KSRGD!I164+SHS!I164</f>
        <v>0</v>
      </c>
      <c r="J164" s="21">
        <f>TVM!J164+KLM!J164+PTA!J164+ALP!J164+KTM!J164+IDK!J164+EKM!J164+TSR!J164+PLKD!J164+MLPM!J164+KKD!J164+WYND!J164+KNR!J164+KSRGD!J164+SHS!J164</f>
        <v>0</v>
      </c>
      <c r="K164" s="21"/>
      <c r="L164" s="21">
        <f>TVM!L164+KLM!L164+PTA!L164+ALP!L164+KTM!L164+IDK!L164+EKM!L164+TSR!L164+PLKD!L164+MLPM!L164+KKD!L164+WYND!L164+KNR!L164+KSRGD!L164+SHS!L164</f>
        <v>0</v>
      </c>
      <c r="M164" s="21"/>
      <c r="N164" s="21">
        <f>TVM!N164+KLM!N164+PTA!N164+ALP!N164+KTM!N164+IDK!N164+EKM!N164+TSR!N164+PLKD!N164+MLPM!N164+KKD!N164+WYND!N164+KNR!N164+KSRGD!N164+SHS!N164</f>
        <v>0</v>
      </c>
      <c r="O164" s="21">
        <f>TVM!O164+KLM!O164+PTA!O164+ALP!O164+KTM!O164+IDK!O164+EKM!O164+TSR!O164+PLKD!O164+MLPM!O164+KKD!O164+WYND!O164+KNR!O164+KSRGD!O164+SHS!O164</f>
        <v>0</v>
      </c>
      <c r="P164" s="21">
        <f>TVM!P164+KLM!P164+PTA!P164+ALP!P164+KTM!P164+IDK!P164+EKM!P164+TSR!P164+PLKD!P164+MLPM!P164+KKD!P164+WYND!P164+KNR!P164+KSRGD!P164+SHS!P164</f>
        <v>0</v>
      </c>
      <c r="Q164" s="21"/>
      <c r="R164" s="21">
        <f>TVM!R164+KLM!R164+PTA!R164+ALP!R164+KTM!R164+IDK!R164+EKM!R164+TSR!R164+PLKD!R164+MLPM!R164+KKD!R164+WYND!R164+KNR!R164+KSRGD!R164+SHS!R164</f>
        <v>0</v>
      </c>
      <c r="S164" s="21"/>
      <c r="T164" s="48">
        <f>TVM!T164+KLM!T164+PTA!T164+ALP!T164+KTM!T164+IDK!T164+EKM!T164+TSR!T164+PLKD!T164+MLPM!T164+KKD!T164+WYND!T164+KNR!T164+KSRGD!T164+SHS!T164</f>
        <v>0</v>
      </c>
      <c r="U164" s="21"/>
      <c r="V164" s="21">
        <f>TVM!V164+KLM!V164+PTA!V164+ALP!V164+KTM!V164+IDK!V164+EKM!V164+TSR!V164+PLKD!V164+MLPM!V164+KKD!V164+WYND!V164+KNR!V164+KSRGD!V164+SHS!V164</f>
        <v>0</v>
      </c>
      <c r="W164" s="21"/>
      <c r="X164" s="22">
        <f t="shared" si="8"/>
        <v>0</v>
      </c>
      <c r="Y164" s="46" t="s">
        <v>543</v>
      </c>
    </row>
    <row r="165" spans="1:25" ht="44.25" customHeight="1">
      <c r="A165" s="498"/>
      <c r="B165" s="498"/>
      <c r="C165" s="498"/>
      <c r="D165" s="43">
        <v>156</v>
      </c>
      <c r="E165" s="43" t="s">
        <v>261</v>
      </c>
      <c r="F165" s="21">
        <f>TVM!F165+KLM!F165+PTA!F165+ALP!F165+KTM!F165+IDK!F165+EKM!F165+TSR!F165+PLKD!F165+MLPM!F165+KKD!F165+WYND!F165+KNR!F165+KSRGD!F165+SHS!F165</f>
        <v>0</v>
      </c>
      <c r="G165" s="21"/>
      <c r="H165" s="21">
        <f>TVM!H165+KLM!H165+PTA!H165+ALP!H165+KTM!H165+IDK!H165+EKM!H165+TSR!H165+PLKD!H165+MLPM!H165+KKD!H165+WYND!H165+KNR!H165+KSRGD!H165+SHS!H165</f>
        <v>0</v>
      </c>
      <c r="I165" s="48">
        <f>TVM!I165+KLM!I165+PTA!I165+ALP!I165+KTM!I165+IDK!I165+EKM!I165+TSR!I165+PLKD!I165+MLPM!I165+KKD!I165+WYND!I165+KNR!I165+KSRGD!I165+SHS!I165</f>
        <v>0</v>
      </c>
      <c r="J165" s="48">
        <f>TVM!J165+KLM!J165+PTA!J165+ALP!J165+KTM!J165+IDK!J165+EKM!J165+TSR!J165+PLKD!J165+MLPM!J165+KKD!J165+WYND!J165+KNR!J165+KSRGD!J165+SHS!J165</f>
        <v>0</v>
      </c>
      <c r="K165" s="21"/>
      <c r="L165" s="22">
        <f>TVM!L165+KLM!L165+PTA!L165+ALP!L165+KTM!L165+IDK!L165+EKM!L165+TSR!L165+PLKD!L165+MLPM!L165+KKD!L165+WYND!L165+KNR!L165+KSRGD!L165+SHS!L165</f>
        <v>162.711849</v>
      </c>
      <c r="M165" s="21" t="s">
        <v>544</v>
      </c>
      <c r="N165" s="21">
        <f>TVM!N165+KLM!N165+PTA!N165+ALP!N165+KTM!N165+IDK!N165+EKM!N165+TSR!N165+PLKD!N165+MLPM!N165+KKD!N165+WYND!N165+KNR!N165+KSRGD!N165+SHS!N165</f>
        <v>0</v>
      </c>
      <c r="O165" s="21">
        <f>TVM!O165+KLM!O165+PTA!O165+ALP!O165+KTM!O165+IDK!O165+EKM!O165+TSR!O165+PLKD!O165+MLPM!O165+KKD!O165+WYND!O165+KNR!O165+KSRGD!O165+SHS!O165</f>
        <v>0</v>
      </c>
      <c r="P165" s="21">
        <f>TVM!P165+KLM!P165+PTA!P165+ALP!P165+KTM!P165+IDK!P165+EKM!P165+TSR!P165+PLKD!P165+MLPM!P165+KKD!P165+WYND!P165+KNR!P165+KSRGD!P165+SHS!P165</f>
        <v>0</v>
      </c>
      <c r="Q165" s="21"/>
      <c r="R165" s="21">
        <f>TVM!R165+KLM!R165+PTA!R165+ALP!R165+KTM!R165+IDK!R165+EKM!R165+TSR!R165+PLKD!R165+MLPM!R165+KKD!R165+WYND!R165+KNR!R165+KSRGD!R165+SHS!R165</f>
        <v>0</v>
      </c>
      <c r="S165" s="21"/>
      <c r="T165" s="48">
        <f>TVM!T165+KLM!T165+PTA!T165+ALP!T165+KTM!T165+IDK!T165+EKM!T165+TSR!T165+PLKD!T165+MLPM!T165+KKD!T165+WYND!T165+KNR!T165+KSRGD!T165+SHS!T165</f>
        <v>17</v>
      </c>
      <c r="U165" s="21"/>
      <c r="V165" s="21">
        <f>TVM!V165+KLM!V165+PTA!V165+ALP!V165+KTM!V165+IDK!V165+EKM!V165+TSR!V165+PLKD!V165+MLPM!V165+KKD!V165+WYND!V165+KNR!V165+KSRGD!V165+SHS!V165</f>
        <v>0</v>
      </c>
      <c r="W165" s="21"/>
      <c r="X165" s="22">
        <f t="shared" si="8"/>
        <v>179.711849</v>
      </c>
      <c r="Y165" s="46" t="s">
        <v>545</v>
      </c>
    </row>
    <row r="166" spans="1:25" ht="31.5">
      <c r="A166" s="498"/>
      <c r="B166" s="498"/>
      <c r="C166" s="498"/>
      <c r="D166" s="43">
        <v>157</v>
      </c>
      <c r="E166" s="43" t="s">
        <v>262</v>
      </c>
      <c r="F166" s="21">
        <f>TVM!F166+KLM!F166+PTA!F166+ALP!F166+KTM!F166+IDK!F166+EKM!F166+TSR!F166+PLKD!F166+MLPM!F166+KKD!F166+WYND!F166+KNR!F166+KSRGD!F166+SHS!F166</f>
        <v>0</v>
      </c>
      <c r="G166" s="21"/>
      <c r="H166" s="21">
        <f>TVM!H166+KLM!H166+PTA!H166+ALP!H166+KTM!H166+IDK!H166+EKM!H166+TSR!H166+PLKD!H166+MLPM!H166+KKD!H166+WYND!H166+KNR!H166+KSRGD!H166+SHS!H166</f>
        <v>0</v>
      </c>
      <c r="I166" s="21">
        <f>TVM!I166+KLM!I166+PTA!I166+ALP!I166+KTM!I166+IDK!I166+EKM!I166+TSR!I166+PLKD!I166+MLPM!I166+KKD!I166+WYND!I166+KNR!I166+KSRGD!I166+SHS!I166</f>
        <v>0</v>
      </c>
      <c r="J166" s="21">
        <f>TVM!J166+KLM!J166+PTA!J166+ALP!J166+KTM!J166+IDK!J166+EKM!J166+TSR!J166+PLKD!J166+MLPM!J166+KKD!J166+WYND!J166+KNR!J166+KSRGD!J166+SHS!J166</f>
        <v>0</v>
      </c>
      <c r="K166" s="21"/>
      <c r="L166" s="21">
        <f>TVM!L166+KLM!L166+PTA!L166+ALP!L166+KTM!L166+IDK!L166+EKM!L166+TSR!L166+PLKD!L166+MLPM!L166+KKD!L166+WYND!L166+KNR!L166+KSRGD!L166+SHS!L166</f>
        <v>0</v>
      </c>
      <c r="M166" s="21"/>
      <c r="N166" s="21">
        <f>TVM!N166+KLM!N166+PTA!N166+ALP!N166+KTM!N166+IDK!N166+EKM!N166+TSR!N166+PLKD!N166+MLPM!N166+KKD!N166+WYND!N166+KNR!N166+KSRGD!N166+SHS!N166</f>
        <v>0</v>
      </c>
      <c r="O166" s="21">
        <f>TVM!O166+KLM!O166+PTA!O166+ALP!O166+KTM!O166+IDK!O166+EKM!O166+TSR!O166+PLKD!O166+MLPM!O166+KKD!O166+WYND!O166+KNR!O166+KSRGD!O166+SHS!O166</f>
        <v>0</v>
      </c>
      <c r="P166" s="21">
        <f>TVM!P166+KLM!P166+PTA!P166+ALP!P166+KTM!P166+IDK!P166+EKM!P166+TSR!P166+PLKD!P166+MLPM!P166+KKD!P166+WYND!P166+KNR!P166+KSRGD!P166+SHS!P166</f>
        <v>0</v>
      </c>
      <c r="Q166" s="21"/>
      <c r="R166" s="21">
        <f>TVM!R166+KLM!R166+PTA!R166+ALP!R166+KTM!R166+IDK!R166+EKM!R166+TSR!R166+PLKD!R166+MLPM!R166+KKD!R166+WYND!R166+KNR!R166+KSRGD!R166+SHS!R166</f>
        <v>0</v>
      </c>
      <c r="S166" s="21"/>
      <c r="T166" s="21">
        <f>TVM!T166+KLM!T166+PTA!T166+ALP!T166+KTM!T166+IDK!T166+EKM!T166+TSR!T166+PLKD!T166+MLPM!T166+KKD!T166+WYND!T166+KNR!T166+KSRGD!T166+SHS!T166</f>
        <v>0</v>
      </c>
      <c r="U166" s="21"/>
      <c r="V166" s="21">
        <f>TVM!V166+KLM!V166+PTA!V166+ALP!V166+KTM!V166+IDK!V166+EKM!V166+TSR!V166+PLKD!V166+MLPM!V166+KKD!V166+WYND!V166+KNR!V166+KSRGD!V166+SHS!V166</f>
        <v>0</v>
      </c>
      <c r="W166" s="21"/>
      <c r="X166" s="22">
        <f t="shared" si="8"/>
        <v>0</v>
      </c>
      <c r="Y166" s="46"/>
    </row>
    <row r="167" spans="1:25" ht="78.75">
      <c r="A167" s="498"/>
      <c r="B167" s="496"/>
      <c r="C167" s="496"/>
      <c r="D167" s="43">
        <v>158</v>
      </c>
      <c r="E167" s="43" t="s">
        <v>263</v>
      </c>
      <c r="F167" s="21">
        <f>TVM!F167+KLM!F167+PTA!F167+ALP!F167+KTM!F167+IDK!F167+EKM!F167+TSR!F167+PLKD!F167+MLPM!F167+KKD!F167+WYND!F167+KNR!F167+KSRGD!F167+SHS!F167</f>
        <v>0</v>
      </c>
      <c r="G167" s="21"/>
      <c r="H167" s="21">
        <f>TVM!H167+KLM!H167+PTA!H167+ALP!H167+KTM!H167+IDK!H167+EKM!H167+TSR!H167+PLKD!H167+MLPM!H167+KKD!H167+WYND!H167+KNR!H167+KSRGD!H167+SHS!H167</f>
        <v>0</v>
      </c>
      <c r="I167" s="21">
        <f>TVM!I167+KLM!I167+PTA!I167+ALP!I167+KTM!I167+IDK!I167+EKM!I167+TSR!I167+PLKD!I167+MLPM!I167+KKD!I167+WYND!I167+KNR!I167+KSRGD!I167+SHS!I167</f>
        <v>0</v>
      </c>
      <c r="J167" s="21">
        <f>TVM!J167+KLM!J167+PTA!J167+ALP!J167+KTM!J167+IDK!J167+EKM!J167+TSR!J167+PLKD!J167+MLPM!J167+KKD!J167+WYND!J167+KNR!J167+KSRGD!J167+SHS!J167</f>
        <v>0</v>
      </c>
      <c r="K167" s="21"/>
      <c r="L167" s="21">
        <f>TVM!L167+KLM!L167+PTA!L167+ALP!L167+KTM!L167+IDK!L167+EKM!L167+TSR!L167+PLKD!L167+MLPM!L167+KKD!L167+WYND!L167+KNR!L167+KSRGD!L167+SHS!L167</f>
        <v>0</v>
      </c>
      <c r="M167" s="21"/>
      <c r="N167" s="21">
        <f>TVM!N167+KLM!N167+PTA!N167+ALP!N167+KTM!N167+IDK!N167+EKM!N167+TSR!N167+PLKD!N167+MLPM!N167+KKD!N167+WYND!N167+KNR!N167+KSRGD!N167+SHS!N167</f>
        <v>0</v>
      </c>
      <c r="O167" s="21">
        <f>TVM!O167+KLM!O167+PTA!O167+ALP!O167+KTM!O167+IDK!O167+EKM!O167+TSR!O167+PLKD!O167+MLPM!O167+KKD!O167+WYND!O167+KNR!O167+KSRGD!O167+SHS!O167</f>
        <v>0</v>
      </c>
      <c r="P167" s="21">
        <f>TVM!P167+KLM!P167+PTA!P167+ALP!P167+KTM!P167+IDK!P167+EKM!P167+TSR!P167+PLKD!P167+MLPM!P167+KKD!P167+WYND!P167+KNR!P167+KSRGD!P167+SHS!P167</f>
        <v>0</v>
      </c>
      <c r="Q167" s="21"/>
      <c r="R167" s="21">
        <f>TVM!R167+KLM!R167+PTA!R167+ALP!R167+KTM!R167+IDK!R167+EKM!R167+TSR!R167+PLKD!R167+MLPM!R167+KKD!R167+WYND!R167+KNR!R167+KSRGD!R167+SHS!R167</f>
        <v>0</v>
      </c>
      <c r="S167" s="21"/>
      <c r="T167" s="21">
        <f>TVM!T167+KLM!T167+PTA!T167+ALP!T167+KTM!T167+IDK!T167+EKM!T167+TSR!T167+PLKD!T167+MLPM!T167+KKD!T167+WYND!T167+KNR!T167+KSRGD!T167+SHS!T167</f>
        <v>1.2</v>
      </c>
      <c r="U167" s="21"/>
      <c r="V167" s="21">
        <f>TVM!V167+KLM!V167+PTA!V167+ALP!V167+KTM!V167+IDK!V167+EKM!V167+TSR!V167+PLKD!V167+MLPM!V167+KKD!V167+WYND!V167+KNR!V167+KSRGD!V167+SHS!V167</f>
        <v>0</v>
      </c>
      <c r="W167" s="21"/>
      <c r="X167" s="22">
        <f t="shared" si="8"/>
        <v>1.2</v>
      </c>
      <c r="Y167" s="46" t="s">
        <v>546</v>
      </c>
    </row>
    <row r="168" spans="1:25" ht="167.25" customHeight="1">
      <c r="A168" s="498"/>
      <c r="B168" s="497" t="s">
        <v>264</v>
      </c>
      <c r="C168" s="497" t="s">
        <v>216</v>
      </c>
      <c r="D168" s="43">
        <v>159</v>
      </c>
      <c r="E168" s="43" t="s">
        <v>217</v>
      </c>
      <c r="F168" s="21">
        <f>TVM!F168+KLM!F168+PTA!F168+ALP!F168+KTM!F168+IDK!F168+EKM!F168+TSR!F168+PLKD!F168+MLPM!F168+KKD!F168+WYND!F168+KNR!F168+KSRGD!F168+SHS!F168</f>
        <v>0</v>
      </c>
      <c r="G168" s="21"/>
      <c r="H168" s="21">
        <f>TVM!H168+KLM!H168+PTA!H168+ALP!H168+KTM!H168+IDK!H168+EKM!H168+TSR!H168+PLKD!H168+MLPM!H168+KKD!H168+WYND!H168+KNR!H168+KSRGD!H168+SHS!H168</f>
        <v>0</v>
      </c>
      <c r="I168" s="21">
        <f>TVM!I168+KLM!I168+PTA!I168+ALP!I168+KTM!I168+IDK!I168+EKM!I168+TSR!I168+PLKD!I168+MLPM!I168+KKD!I168+WYND!I168+KNR!I168+KSRGD!I168+SHS!I168</f>
        <v>0</v>
      </c>
      <c r="J168" s="21">
        <f>TVM!J168+KLM!J168+PTA!J168+ALP!J168+KTM!J168+IDK!J168+EKM!J168+TSR!J168+PLKD!J168+MLPM!J168+KKD!J168+WYND!J168+KNR!J168+KSRGD!J168+SHS!J168</f>
        <v>0</v>
      </c>
      <c r="K168" s="21"/>
      <c r="L168" s="21">
        <f>TVM!L168+KLM!L168+PTA!L168+ALP!L168+KTM!L168+IDK!L168+EKM!L168+TSR!L168+PLKD!L168+MLPM!L168+KKD!L168+WYND!L168+KNR!L168+KSRGD!L168+SHS!L168</f>
        <v>0</v>
      </c>
      <c r="M168" s="21"/>
      <c r="N168" s="21">
        <f>TVM!N168+KLM!N168+PTA!N168+ALP!N168+KTM!N168+IDK!N168+EKM!N168+TSR!N168+PLKD!N168+MLPM!N168+KKD!N168+WYND!N168+KNR!N168+KSRGD!N168+SHS!N168</f>
        <v>0</v>
      </c>
      <c r="O168" s="22">
        <f>TVM!O168+KLM!O168+PTA!O168+ALP!O168+KTM!O168+IDK!O168+EKM!O168+TSR!O168+PLKD!O168+MLPM!O168+KKD!O168+WYND!O168+KNR!O168+KSRGD!O168+SHS!O168</f>
        <v>0</v>
      </c>
      <c r="P168" s="22">
        <f>TVM!P168+KLM!P168+PTA!P168+ALP!P168+KTM!P168+IDK!P168+EKM!P168+TSR!P168+PLKD!P168+MLPM!P168+KKD!P168+WYND!P168+KNR!P168+KSRGD!P168+SHS!P168</f>
        <v>0</v>
      </c>
      <c r="Q168" s="21"/>
      <c r="R168" s="21">
        <f>TVM!R168+KLM!R168+PTA!R168+ALP!R168+KTM!R168+IDK!R168+EKM!R168+TSR!R168+PLKD!R168+MLPM!R168+KKD!R168+WYND!R168+KNR!R168+KSRGD!R168+SHS!R168</f>
        <v>0</v>
      </c>
      <c r="S168" s="21"/>
      <c r="T168" s="48">
        <f>TVM!T168+KLM!T168+PTA!T168+ALP!T168+KTM!T168+IDK!T168+EKM!T168+TSR!T168+PLKD!T168+MLPM!T168+KKD!T168+WYND!T168+KNR!T168+KSRGD!T168+SHS!T168</f>
        <v>1222.7399999999998</v>
      </c>
      <c r="U168" s="21"/>
      <c r="V168" s="21">
        <f>TVM!V168+KLM!V168+PTA!V168+ALP!V168+KTM!V168+IDK!V168+EKM!V168+TSR!V168+PLKD!V168+MLPM!V168+KKD!V168+WYND!V168+KNR!V168+KSRGD!V168+SHS!V168</f>
        <v>0</v>
      </c>
      <c r="W168" s="21"/>
      <c r="X168" s="54">
        <f t="shared" si="8"/>
        <v>1222.7399999999998</v>
      </c>
      <c r="Y168" s="456" t="s">
        <v>547</v>
      </c>
    </row>
    <row r="169" spans="1:25" ht="15.75">
      <c r="A169" s="498"/>
      <c r="B169" s="498"/>
      <c r="C169" s="498"/>
      <c r="D169" s="43">
        <v>160</v>
      </c>
      <c r="E169" s="43" t="s">
        <v>265</v>
      </c>
      <c r="F169" s="21">
        <f>TVM!F169+KLM!F169+PTA!F169+ALP!F169+KTM!F169+IDK!F169+EKM!F169+TSR!F169+PLKD!F169+MLPM!F169+KKD!F169+WYND!F169+KNR!F169+KSRGD!F169+SHS!F169</f>
        <v>0</v>
      </c>
      <c r="G169" s="21"/>
      <c r="H169" s="21">
        <f>TVM!H169+KLM!H169+PTA!H169+ALP!H169+KTM!H169+IDK!H169+EKM!H169+TSR!H169+PLKD!H169+MLPM!H169+KKD!H169+WYND!H169+KNR!H169+KSRGD!H169+SHS!H169</f>
        <v>0</v>
      </c>
      <c r="I169" s="21">
        <f>TVM!I169+KLM!I169+PTA!I169+ALP!I169+KTM!I169+IDK!I169+EKM!I169+TSR!I169+PLKD!I169+MLPM!I169+KKD!I169+WYND!I169+KNR!I169+KSRGD!I169+SHS!I169</f>
        <v>0</v>
      </c>
      <c r="J169" s="21">
        <f>TVM!J169+KLM!J169+PTA!J169+ALP!J169+KTM!J169+IDK!J169+EKM!J169+TSR!J169+PLKD!J169+MLPM!J169+KKD!J169+WYND!J169+KNR!J169+KSRGD!J169+SHS!J169</f>
        <v>0</v>
      </c>
      <c r="K169" s="21"/>
      <c r="L169" s="21">
        <f>TVM!L169+KLM!L169+PTA!L169+ALP!L169+KTM!L169+IDK!L169+EKM!L169+TSR!L169+PLKD!L169+MLPM!L169+KKD!L169+WYND!L169+KNR!L169+KSRGD!L169+SHS!L169</f>
        <v>0</v>
      </c>
      <c r="M169" s="21"/>
      <c r="N169" s="21">
        <f>TVM!N169+KLM!N169+PTA!N169+ALP!N169+KTM!N169+IDK!N169+EKM!N169+TSR!N169+PLKD!N169+MLPM!N169+KKD!N169+WYND!N169+KNR!N169+KSRGD!N169+SHS!N169</f>
        <v>0</v>
      </c>
      <c r="O169" s="21">
        <f>TVM!O169+KLM!O169+PTA!O169+ALP!O169+KTM!O169+IDK!O169+EKM!O169+TSR!O169+PLKD!O169+MLPM!O169+KKD!O169+WYND!O169+KNR!O169+KSRGD!O169+SHS!O169</f>
        <v>0</v>
      </c>
      <c r="P169" s="21">
        <f>TVM!P169+KLM!P169+PTA!P169+ALP!P169+KTM!P169+IDK!P169+EKM!P169+TSR!P169+PLKD!P169+MLPM!P169+KKD!P169+WYND!P169+KNR!P169+KSRGD!P169+SHS!P169</f>
        <v>0</v>
      </c>
      <c r="Q169" s="21"/>
      <c r="R169" s="21">
        <f>TVM!R169+KLM!R169+PTA!R169+ALP!R169+KTM!R169+IDK!R169+EKM!R169+TSR!R169+PLKD!R169+MLPM!R169+KKD!R169+WYND!R169+KNR!R169+KSRGD!R169+SHS!R169</f>
        <v>0</v>
      </c>
      <c r="S169" s="21"/>
      <c r="T169" s="21">
        <f>TVM!T169+KLM!T169+PTA!T169+ALP!T169+KTM!T169+IDK!T169+EKM!T169+TSR!T169+PLKD!T169+MLPM!T169+KKD!T169+WYND!T169+KNR!T169+KSRGD!T169+SHS!T169</f>
        <v>0</v>
      </c>
      <c r="U169" s="21"/>
      <c r="V169" s="21">
        <f>TVM!V169+KLM!V169+PTA!V169+ALP!V169+KTM!V169+IDK!V169+EKM!V169+TSR!V169+PLKD!V169+MLPM!V169+KKD!V169+WYND!V169+KNR!V169+KSRGD!V169+SHS!V169</f>
        <v>0</v>
      </c>
      <c r="W169" s="21"/>
      <c r="X169" s="22">
        <f t="shared" si="8"/>
        <v>0</v>
      </c>
      <c r="Y169" s="46"/>
    </row>
    <row r="170" spans="1:25" ht="15.75">
      <c r="A170" s="498"/>
      <c r="B170" s="498"/>
      <c r="C170" s="498"/>
      <c r="D170" s="43">
        <v>161</v>
      </c>
      <c r="E170" s="43" t="s">
        <v>219</v>
      </c>
      <c r="F170" s="21">
        <f>TVM!F170+KLM!F170+PTA!F170+ALP!F170+KTM!F170+IDK!F170+EKM!F170+TSR!F170+PLKD!F170+MLPM!F170+KKD!F170+WYND!F170+KNR!F170+KSRGD!F170+SHS!F170</f>
        <v>0</v>
      </c>
      <c r="G170" s="21"/>
      <c r="H170" s="21">
        <f>TVM!H170+KLM!H170+PTA!H170+ALP!H170+KTM!H170+IDK!H170+EKM!H170+TSR!H170+PLKD!H170+MLPM!H170+KKD!H170+WYND!H170+KNR!H170+KSRGD!H170+SHS!H170</f>
        <v>0</v>
      </c>
      <c r="I170" s="21">
        <f>TVM!I170+KLM!I170+PTA!I170+ALP!I170+KTM!I170+IDK!I170+EKM!I170+TSR!I170+PLKD!I170+MLPM!I170+KKD!I170+WYND!I170+KNR!I170+KSRGD!I170+SHS!I170</f>
        <v>0</v>
      </c>
      <c r="J170" s="21">
        <f>TVM!J170+KLM!J170+PTA!J170+ALP!J170+KTM!J170+IDK!J170+EKM!J170+TSR!J170+PLKD!J170+MLPM!J170+KKD!J170+WYND!J170+KNR!J170+KSRGD!J170+SHS!J170</f>
        <v>0</v>
      </c>
      <c r="K170" s="21"/>
      <c r="L170" s="21">
        <f>TVM!L170+KLM!L170+PTA!L170+ALP!L170+KTM!L170+IDK!L170+EKM!L170+TSR!L170+PLKD!L170+MLPM!L170+KKD!L170+WYND!L170+KNR!L170+KSRGD!L170+SHS!L170</f>
        <v>0</v>
      </c>
      <c r="M170" s="21"/>
      <c r="N170" s="21">
        <f>TVM!N170+KLM!N170+PTA!N170+ALP!N170+KTM!N170+IDK!N170+EKM!N170+TSR!N170+PLKD!N170+MLPM!N170+KKD!N170+WYND!N170+KNR!N170+KSRGD!N170+SHS!N170</f>
        <v>0</v>
      </c>
      <c r="O170" s="21">
        <f>TVM!O170+KLM!O170+PTA!O170+ALP!O170+KTM!O170+IDK!O170+EKM!O170+TSR!O170+PLKD!O170+MLPM!O170+KKD!O170+WYND!O170+KNR!O170+KSRGD!O170+SHS!O170</f>
        <v>0</v>
      </c>
      <c r="P170" s="21">
        <f>TVM!P170+KLM!P170+PTA!P170+ALP!P170+KTM!P170+IDK!P170+EKM!P170+TSR!P170+PLKD!P170+MLPM!P170+KKD!P170+WYND!P170+KNR!P170+KSRGD!P170+SHS!P170</f>
        <v>0</v>
      </c>
      <c r="Q170" s="21"/>
      <c r="R170" s="21">
        <f>TVM!R170+KLM!R170+PTA!R170+ALP!R170+KTM!R170+IDK!R170+EKM!R170+TSR!R170+PLKD!R170+MLPM!R170+KKD!R170+WYND!R170+KNR!R170+KSRGD!R170+SHS!R170</f>
        <v>0</v>
      </c>
      <c r="S170" s="21"/>
      <c r="T170" s="21">
        <f>TVM!T170+KLM!T170+PTA!T170+ALP!T170+KTM!T170+IDK!T170+EKM!T170+TSR!T170+PLKD!T170+MLPM!T170+KKD!T170+WYND!T170+KNR!T170+KSRGD!T170+SHS!T170</f>
        <v>0</v>
      </c>
      <c r="U170" s="21"/>
      <c r="V170" s="21">
        <f>TVM!V170+KLM!V170+PTA!V170+ALP!V170+KTM!V170+IDK!V170+EKM!V170+TSR!V170+PLKD!V170+MLPM!V170+KKD!V170+WYND!V170+KNR!V170+KSRGD!V170+SHS!V170</f>
        <v>0</v>
      </c>
      <c r="W170" s="21"/>
      <c r="X170" s="22">
        <f t="shared" si="8"/>
        <v>0</v>
      </c>
      <c r="Y170" s="46"/>
    </row>
    <row r="171" spans="1:25" ht="15.75">
      <c r="A171" s="498"/>
      <c r="B171" s="498"/>
      <c r="C171" s="498"/>
      <c r="D171" s="43">
        <v>162</v>
      </c>
      <c r="E171" s="43" t="s">
        <v>220</v>
      </c>
      <c r="F171" s="21">
        <f>TVM!F171+KLM!F171+PTA!F171+ALP!F171+KTM!F171+IDK!F171+EKM!F171+TSR!F171+PLKD!F171+MLPM!F171+KKD!F171+WYND!F171+KNR!F171+KSRGD!F171+SHS!F171</f>
        <v>0</v>
      </c>
      <c r="G171" s="21"/>
      <c r="H171" s="21">
        <f>TVM!H171+KLM!H171+PTA!H171+ALP!H171+KTM!H171+IDK!H171+EKM!H171+TSR!H171+PLKD!H171+MLPM!H171+KKD!H171+WYND!H171+KNR!H171+KSRGD!H171+SHS!H171</f>
        <v>0</v>
      </c>
      <c r="I171" s="21">
        <f>TVM!I171+KLM!I171+PTA!I171+ALP!I171+KTM!I171+IDK!I171+EKM!I171+TSR!I171+PLKD!I171+MLPM!I171+KKD!I171+WYND!I171+KNR!I171+KSRGD!I171+SHS!I171</f>
        <v>0</v>
      </c>
      <c r="J171" s="21">
        <f>TVM!J171+KLM!J171+PTA!J171+ALP!J171+KTM!J171+IDK!J171+EKM!J171+TSR!J171+PLKD!J171+MLPM!J171+KKD!J171+WYND!J171+KNR!J171+KSRGD!J171+SHS!J171</f>
        <v>0</v>
      </c>
      <c r="K171" s="21"/>
      <c r="L171" s="21">
        <f>TVM!L171+KLM!L171+PTA!L171+ALP!L171+KTM!L171+IDK!L171+EKM!L171+TSR!L171+PLKD!L171+MLPM!L171+KKD!L171+WYND!L171+KNR!L171+KSRGD!L171+SHS!L171</f>
        <v>0</v>
      </c>
      <c r="M171" s="21"/>
      <c r="N171" s="21">
        <f>TVM!N171+KLM!N171+PTA!N171+ALP!N171+KTM!N171+IDK!N171+EKM!N171+TSR!N171+PLKD!N171+MLPM!N171+KKD!N171+WYND!N171+KNR!N171+KSRGD!N171+SHS!N171</f>
        <v>0</v>
      </c>
      <c r="O171" s="21">
        <f>TVM!O171+KLM!O171+PTA!O171+ALP!O171+KTM!O171+IDK!O171+EKM!O171+TSR!O171+PLKD!O171+MLPM!O171+KKD!O171+WYND!O171+KNR!O171+KSRGD!O171+SHS!O171</f>
        <v>0</v>
      </c>
      <c r="P171" s="21">
        <f>TVM!P171+KLM!P171+PTA!P171+ALP!P171+KTM!P171+IDK!P171+EKM!P171+TSR!P171+PLKD!P171+MLPM!P171+KKD!P171+WYND!P171+KNR!P171+KSRGD!P171+SHS!P171</f>
        <v>0</v>
      </c>
      <c r="Q171" s="21"/>
      <c r="R171" s="21">
        <f>TVM!R171+KLM!R171+PTA!R171+ALP!R171+KTM!R171+IDK!R171+EKM!R171+TSR!R171+PLKD!R171+MLPM!R171+KKD!R171+WYND!R171+KNR!R171+KSRGD!R171+SHS!R171</f>
        <v>0</v>
      </c>
      <c r="S171" s="21"/>
      <c r="T171" s="21">
        <f>TVM!T171+KLM!T171+PTA!T171+ALP!T171+KTM!T171+IDK!T171+EKM!T171+TSR!T171+PLKD!T171+MLPM!T171+KKD!T171+WYND!T171+KNR!T171+KSRGD!T171+SHS!T171</f>
        <v>0</v>
      </c>
      <c r="U171" s="21"/>
      <c r="V171" s="21">
        <f>TVM!V171+KLM!V171+PTA!V171+ALP!V171+KTM!V171+IDK!V171+EKM!V171+TSR!V171+PLKD!V171+MLPM!V171+KKD!V171+WYND!V171+KNR!V171+KSRGD!V171+SHS!V171</f>
        <v>0</v>
      </c>
      <c r="W171" s="21"/>
      <c r="X171" s="22">
        <f t="shared" si="8"/>
        <v>0</v>
      </c>
      <c r="Y171" s="46"/>
    </row>
    <row r="172" spans="1:25" ht="78.75">
      <c r="A172" s="498"/>
      <c r="B172" s="496"/>
      <c r="C172" s="496"/>
      <c r="D172" s="43">
        <v>163</v>
      </c>
      <c r="E172" s="43" t="s">
        <v>266</v>
      </c>
      <c r="F172" s="21">
        <f>TVM!F172+KLM!F172+PTA!F172+ALP!F172+KTM!F172+IDK!F172+EKM!F172+TSR!F172+PLKD!F172+MLPM!F172+KKD!F172+WYND!F172+KNR!F172+KSRGD!F172+SHS!F172</f>
        <v>0</v>
      </c>
      <c r="G172" s="21"/>
      <c r="H172" s="21">
        <f>TVM!H172+KLM!H172+PTA!H172+ALP!H172+KTM!H172+IDK!H172+EKM!H172+TSR!H172+PLKD!H172+MLPM!H172+KKD!H172+WYND!H172+KNR!H172+KSRGD!H172+SHS!H172</f>
        <v>0</v>
      </c>
      <c r="I172" s="21">
        <f>TVM!I172+KLM!I172+PTA!I172+ALP!I172+KTM!I172+IDK!I172+EKM!I172+TSR!I172+PLKD!I172+MLPM!I172+KKD!I172+WYND!I172+KNR!I172+KSRGD!I172+SHS!I172</f>
        <v>0</v>
      </c>
      <c r="J172" s="21">
        <f>TVM!J172+KLM!J172+PTA!J172+ALP!J172+KTM!J172+IDK!J172+EKM!J172+TSR!J172+PLKD!J172+MLPM!J172+KKD!J172+WYND!J172+KNR!J172+KSRGD!J172+SHS!J172</f>
        <v>0</v>
      </c>
      <c r="K172" s="21"/>
      <c r="L172" s="21">
        <f>TVM!L172+KLM!L172+PTA!L172+ALP!L172+KTM!L172+IDK!L172+EKM!L172+TSR!L172+PLKD!L172+MLPM!L172+KKD!L172+WYND!L172+KNR!L172+KSRGD!L172+SHS!L172</f>
        <v>0</v>
      </c>
      <c r="M172" s="21"/>
      <c r="N172" s="21">
        <f>TVM!N172+KLM!N172+PTA!N172+ALP!N172+KTM!N172+IDK!N172+EKM!N172+TSR!N172+PLKD!N172+MLPM!N172+KKD!N172+WYND!N172+KNR!N172+KSRGD!N172+SHS!N172</f>
        <v>0</v>
      </c>
      <c r="O172" s="21">
        <f>TVM!O172+KLM!O172+PTA!O172+ALP!O172+KTM!O172+IDK!O172+EKM!O172+TSR!O172+PLKD!O172+MLPM!O172+KKD!O172+WYND!O172+KNR!O172+KSRGD!O172+SHS!O172</f>
        <v>0</v>
      </c>
      <c r="P172" s="21">
        <f>TVM!P172+KLM!P172+PTA!P172+ALP!P172+KTM!P172+IDK!P172+EKM!P172+TSR!P172+PLKD!P172+MLPM!P172+KKD!P172+WYND!P172+KNR!P172+KSRGD!P172+SHS!P172</f>
        <v>0</v>
      </c>
      <c r="Q172" s="21"/>
      <c r="R172" s="21">
        <f>TVM!R172+KLM!R172+PTA!R172+ALP!R172+KTM!R172+IDK!R172+EKM!R172+TSR!R172+PLKD!R172+MLPM!R172+KKD!R172+WYND!R172+KNR!R172+KSRGD!R172+SHS!R172</f>
        <v>0</v>
      </c>
      <c r="S172" s="21"/>
      <c r="T172" s="48">
        <f>TVM!T172+KLM!T172+PTA!T172+ALP!T172+KTM!T172+IDK!T172+EKM!T172+TSR!T172+PLKD!T172+MLPM!T172+KKD!T172+WYND!T172+KNR!T172+KSRGD!T172+SHS!T172</f>
        <v>198.26</v>
      </c>
      <c r="U172" s="21"/>
      <c r="V172" s="21">
        <f>TVM!V172+KLM!V172+PTA!V172+ALP!V172+KTM!V172+IDK!V172+EKM!V172+TSR!V172+PLKD!V172+MLPM!V172+KKD!V172+WYND!V172+KNR!V172+KSRGD!V172+SHS!V172</f>
        <v>0</v>
      </c>
      <c r="W172" s="21"/>
      <c r="X172" s="22">
        <f t="shared" si="8"/>
        <v>198.26</v>
      </c>
      <c r="Y172" s="61" t="s">
        <v>548</v>
      </c>
    </row>
    <row r="173" spans="1:25" ht="15.75">
      <c r="A173" s="498"/>
      <c r="B173" s="497" t="s">
        <v>267</v>
      </c>
      <c r="C173" s="497" t="s">
        <v>268</v>
      </c>
      <c r="D173" s="43">
        <v>164</v>
      </c>
      <c r="E173" s="43" t="s">
        <v>269</v>
      </c>
      <c r="F173" s="21">
        <f>TVM!F173+KLM!F173+PTA!F173+ALP!F173+KTM!F173+IDK!F173+EKM!F173+TSR!F173+PLKD!F173+MLPM!F173+KKD!F173+WYND!F173+KNR!F173+KSRGD!F173+SHS!F173</f>
        <v>0</v>
      </c>
      <c r="G173" s="21"/>
      <c r="H173" s="48">
        <f>TVM!H173+KLM!H173+PTA!H173+ALP!H173+KTM!H173+IDK!H173+EKM!H173+TSR!H173+PLKD!H173+MLPM!H173+KKD!H173+WYND!H173+KNR!H173+KSRGD!H173+SHS!H173</f>
        <v>939</v>
      </c>
      <c r="I173" s="48">
        <f>TVM!I173+KLM!I173+PTA!I173+ALP!I173+KTM!I173+IDK!I173+EKM!I173+TSR!I173+PLKD!I173+MLPM!I173+KKD!I173+WYND!I173+KNR!I173+KSRGD!I173+SHS!I173</f>
        <v>0</v>
      </c>
      <c r="J173" s="48">
        <f>TVM!J173+KLM!J173+PTA!J173+ALP!J173+KTM!J173+IDK!J173+EKM!J173+TSR!J173+PLKD!J173+MLPM!J173+KKD!J173+WYND!J173+KNR!J173+KSRGD!J173+SHS!J173</f>
        <v>939</v>
      </c>
      <c r="K173" s="21"/>
      <c r="L173" s="21">
        <f>TVM!L173+KLM!L173+PTA!L173+ALP!L173+KTM!L173+IDK!L173+EKM!L173+TSR!L173+PLKD!L173+MLPM!L173+KKD!L173+WYND!L173+KNR!L173+KSRGD!L173+SHS!L173</f>
        <v>0</v>
      </c>
      <c r="M173" s="21"/>
      <c r="N173" s="21">
        <f>TVM!N173+KLM!N173+PTA!N173+ALP!N173+KTM!N173+IDK!N173+EKM!N173+TSR!N173+PLKD!N173+MLPM!N173+KKD!N173+WYND!N173+KNR!N173+KSRGD!N173+SHS!N173</f>
        <v>0</v>
      </c>
      <c r="O173" s="21">
        <f>TVM!O173+KLM!O173+PTA!O173+ALP!O173+KTM!O173+IDK!O173+EKM!O173+TSR!O173+PLKD!O173+MLPM!O173+KKD!O173+WYND!O173+KNR!O173+KSRGD!O173+SHS!O173</f>
        <v>0</v>
      </c>
      <c r="P173" s="21">
        <f>TVM!P173+KLM!P173+PTA!P173+ALP!P173+KTM!P173+IDK!P173+EKM!P173+TSR!P173+PLKD!P173+MLPM!P173+KKD!P173+WYND!P173+KNR!P173+KSRGD!P173+SHS!P173</f>
        <v>0</v>
      </c>
      <c r="Q173" s="21"/>
      <c r="R173" s="21">
        <f>TVM!R173+KLM!R173+PTA!R173+ALP!R173+KTM!R173+IDK!R173+EKM!R173+TSR!R173+PLKD!R173+MLPM!R173+KKD!R173+WYND!R173+KNR!R173+KSRGD!R173+SHS!R173</f>
        <v>0</v>
      </c>
      <c r="S173" s="21"/>
      <c r="T173" s="21">
        <f>TVM!T173+KLM!T173+PTA!T173+ALP!T173+KTM!T173+IDK!T173+EKM!T173+TSR!T173+PLKD!T173+MLPM!T173+KKD!T173+WYND!T173+KNR!T173+KSRGD!T173+SHS!T173</f>
        <v>0</v>
      </c>
      <c r="U173" s="21"/>
      <c r="V173" s="21">
        <f>TVM!V173+KLM!V173+PTA!V173+ALP!V173+KTM!V173+IDK!V173+EKM!V173+TSR!V173+PLKD!V173+MLPM!V173+KKD!V173+WYND!V173+KNR!V173+KSRGD!V173+SHS!V173</f>
        <v>0</v>
      </c>
      <c r="W173" s="21"/>
      <c r="X173" s="54">
        <f t="shared" si="8"/>
        <v>939</v>
      </c>
      <c r="Y173" s="55" t="s">
        <v>347</v>
      </c>
    </row>
    <row r="174" spans="1:25" ht="15.75">
      <c r="A174" s="498"/>
      <c r="B174" s="498"/>
      <c r="C174" s="498"/>
      <c r="D174" s="43">
        <v>165</v>
      </c>
      <c r="E174" s="43" t="s">
        <v>270</v>
      </c>
      <c r="F174" s="21">
        <f>TVM!F174+KLM!F174+PTA!F174+ALP!F174+KTM!F174+IDK!F174+EKM!F174+TSR!F174+PLKD!F174+MLPM!F174+KKD!F174+WYND!F174+KNR!F174+KSRGD!F174+SHS!F174</f>
        <v>0</v>
      </c>
      <c r="G174" s="21"/>
      <c r="H174" s="48">
        <f>TVM!H174+KLM!H174+PTA!H174+ALP!H174+KTM!H174+IDK!H174+EKM!H174+TSR!H174+PLKD!H174+MLPM!H174+KKD!H174+WYND!H174+KNR!H174+KSRGD!H174+SHS!H174</f>
        <v>494</v>
      </c>
      <c r="I174" s="48">
        <f>TVM!I174+KLM!I174+PTA!I174+ALP!I174+KTM!I174+IDK!I174+EKM!I174+TSR!I174+PLKD!I174+MLPM!I174+KKD!I174+WYND!I174+KNR!I174+KSRGD!I174+SHS!I174</f>
        <v>0</v>
      </c>
      <c r="J174" s="48">
        <f>TVM!J174+KLM!J174+PTA!J174+ALP!J174+KTM!J174+IDK!J174+EKM!J174+TSR!J174+PLKD!J174+MLPM!J174+KKD!J174+WYND!J174+KNR!J174+KSRGD!J174+SHS!J174</f>
        <v>494</v>
      </c>
      <c r="K174" s="21"/>
      <c r="L174" s="21">
        <f>TVM!L174+KLM!L174+PTA!L174+ALP!L174+KTM!L174+IDK!L174+EKM!L174+TSR!L174+PLKD!L174+MLPM!L174+KKD!L174+WYND!L174+KNR!L174+KSRGD!L174+SHS!L174</f>
        <v>0</v>
      </c>
      <c r="M174" s="21"/>
      <c r="N174" s="21">
        <f>TVM!N174+KLM!N174+PTA!N174+ALP!N174+KTM!N174+IDK!N174+EKM!N174+TSR!N174+PLKD!N174+MLPM!N174+KKD!N174+WYND!N174+KNR!N174+KSRGD!N174+SHS!N174</f>
        <v>0</v>
      </c>
      <c r="O174" s="21">
        <f>TVM!O174+KLM!O174+PTA!O174+ALP!O174+KTM!O174+IDK!O174+EKM!O174+TSR!O174+PLKD!O174+MLPM!O174+KKD!O174+WYND!O174+KNR!O174+KSRGD!O174+SHS!O174</f>
        <v>0</v>
      </c>
      <c r="P174" s="21">
        <f>TVM!P174+KLM!P174+PTA!P174+ALP!P174+KTM!P174+IDK!P174+EKM!P174+TSR!P174+PLKD!P174+MLPM!P174+KKD!P174+WYND!P174+KNR!P174+KSRGD!P174+SHS!P174</f>
        <v>0</v>
      </c>
      <c r="Q174" s="21"/>
      <c r="R174" s="21">
        <f>TVM!R174+KLM!R174+PTA!R174+ALP!R174+KTM!R174+IDK!R174+EKM!R174+TSR!R174+PLKD!R174+MLPM!R174+KKD!R174+WYND!R174+KNR!R174+KSRGD!R174+SHS!R174</f>
        <v>0</v>
      </c>
      <c r="S174" s="21"/>
      <c r="T174" s="21">
        <f>TVM!T174+KLM!T174+PTA!T174+ALP!T174+KTM!T174+IDK!T174+EKM!T174+TSR!T174+PLKD!T174+MLPM!T174+KKD!T174+WYND!T174+KNR!T174+KSRGD!T174+SHS!T174</f>
        <v>0</v>
      </c>
      <c r="U174" s="21"/>
      <c r="V174" s="21">
        <f>TVM!V174+KLM!V174+PTA!V174+ALP!V174+KTM!V174+IDK!V174+EKM!V174+TSR!V174+PLKD!V174+MLPM!V174+KKD!V174+WYND!V174+KNR!V174+KSRGD!V174+SHS!V174</f>
        <v>0</v>
      </c>
      <c r="W174" s="21"/>
      <c r="X174" s="54">
        <f t="shared" si="8"/>
        <v>494</v>
      </c>
      <c r="Y174" s="55" t="s">
        <v>347</v>
      </c>
    </row>
    <row r="175" spans="1:25" ht="31.5">
      <c r="A175" s="498"/>
      <c r="B175" s="498"/>
      <c r="C175" s="498"/>
      <c r="D175" s="43">
        <v>166</v>
      </c>
      <c r="E175" s="43" t="s">
        <v>271</v>
      </c>
      <c r="F175" s="21">
        <f>TVM!F175+KLM!F175+PTA!F175+ALP!F175+KTM!F175+IDK!F175+EKM!F175+TSR!F175+PLKD!F175+MLPM!F175+KKD!F175+WYND!F175+KNR!F175+KSRGD!F175+SHS!F175</f>
        <v>0</v>
      </c>
      <c r="G175" s="21"/>
      <c r="H175" s="48">
        <f>TVM!H175+KLM!H175+PTA!H175+ALP!H175+KTM!H175+IDK!H175+EKM!H175+TSR!H175+PLKD!H175+MLPM!H175+KKD!H175+WYND!H175+KNR!H175+KSRGD!H175+SHS!H175</f>
        <v>360</v>
      </c>
      <c r="I175" s="48">
        <f>TVM!I175+KLM!I175+PTA!I175+ALP!I175+KTM!I175+IDK!I175+EKM!I175+TSR!I175+PLKD!I175+MLPM!I175+KKD!I175+WYND!I175+KNR!I175+KSRGD!I175+SHS!I175</f>
        <v>0</v>
      </c>
      <c r="J175" s="48">
        <f>TVM!J175+KLM!J175+PTA!J175+ALP!J175+KTM!J175+IDK!J175+EKM!J175+TSR!J175+PLKD!J175+MLPM!J175+KKD!J175+WYND!J175+KNR!J175+KSRGD!J175+SHS!J175</f>
        <v>360</v>
      </c>
      <c r="K175" s="21"/>
      <c r="L175" s="21">
        <f>TVM!L175+KLM!L175+PTA!L175+ALP!L175+KTM!L175+IDK!L175+EKM!L175+TSR!L175+PLKD!L175+MLPM!L175+KKD!L175+WYND!L175+KNR!L175+KSRGD!L175+SHS!L175</f>
        <v>0</v>
      </c>
      <c r="M175" s="21"/>
      <c r="N175" s="21">
        <f>TVM!N175+KLM!N175+PTA!N175+ALP!N175+KTM!N175+IDK!N175+EKM!N175+TSR!N175+PLKD!N175+MLPM!N175+KKD!N175+WYND!N175+KNR!N175+KSRGD!N175+SHS!N175</f>
        <v>0</v>
      </c>
      <c r="O175" s="21">
        <f>TVM!O175+KLM!O175+PTA!O175+ALP!O175+KTM!O175+IDK!O175+EKM!O175+TSR!O175+PLKD!O175+MLPM!O175+KKD!O175+WYND!O175+KNR!O175+KSRGD!O175+SHS!O175</f>
        <v>0</v>
      </c>
      <c r="P175" s="21">
        <f>TVM!P175+KLM!P175+PTA!P175+ALP!P175+KTM!P175+IDK!P175+EKM!P175+TSR!P175+PLKD!P175+MLPM!P175+KKD!P175+WYND!P175+KNR!P175+KSRGD!P175+SHS!P175</f>
        <v>0</v>
      </c>
      <c r="Q175" s="21"/>
      <c r="R175" s="21">
        <f>TVM!R175+KLM!R175+PTA!R175+ALP!R175+KTM!R175+IDK!R175+EKM!R175+TSR!R175+PLKD!R175+MLPM!R175+KKD!R175+WYND!R175+KNR!R175+KSRGD!R175+SHS!R175</f>
        <v>0</v>
      </c>
      <c r="S175" s="21"/>
      <c r="T175" s="21">
        <f>TVM!T175+KLM!T175+PTA!T175+ALP!T175+KTM!T175+IDK!T175+EKM!T175+TSR!T175+PLKD!T175+MLPM!T175+KKD!T175+WYND!T175+KNR!T175+KSRGD!T175+SHS!T175</f>
        <v>0</v>
      </c>
      <c r="U175" s="21"/>
      <c r="V175" s="21">
        <f>TVM!V175+KLM!V175+PTA!V175+ALP!V175+KTM!V175+IDK!V175+EKM!V175+TSR!V175+PLKD!V175+MLPM!V175+KKD!V175+WYND!V175+KNR!V175+KSRGD!V175+SHS!V175</f>
        <v>0</v>
      </c>
      <c r="W175" s="21"/>
      <c r="X175" s="54">
        <f t="shared" si="8"/>
        <v>360</v>
      </c>
      <c r="Y175" s="55" t="s">
        <v>347</v>
      </c>
    </row>
    <row r="176" spans="1:25" ht="31.5">
      <c r="A176" s="498"/>
      <c r="B176" s="498"/>
      <c r="C176" s="498"/>
      <c r="D176" s="43">
        <v>167</v>
      </c>
      <c r="E176" s="43" t="s">
        <v>272</v>
      </c>
      <c r="F176" s="21">
        <f>TVM!F176+KLM!F176+PTA!F176+ALP!F176+KTM!F176+IDK!F176+EKM!F176+TSR!F176+PLKD!F176+MLPM!F176+KKD!F176+WYND!F176+KNR!F176+KSRGD!F176+SHS!F176</f>
        <v>0</v>
      </c>
      <c r="G176" s="21"/>
      <c r="H176" s="48">
        <f>TVM!H176+KLM!H176+PTA!H176+ALP!H176+KTM!H176+IDK!H176+EKM!H176+TSR!H176+PLKD!H176+MLPM!H176+KKD!H176+WYND!H176+KNR!H176+KSRGD!H176+SHS!H176</f>
        <v>1505</v>
      </c>
      <c r="I176" s="48">
        <f>TVM!I176+KLM!I176+PTA!I176+ALP!I176+KTM!I176+IDK!I176+EKM!I176+TSR!I176+PLKD!I176+MLPM!I176+KKD!I176+WYND!I176+KNR!I176+KSRGD!I176+SHS!I176</f>
        <v>0</v>
      </c>
      <c r="J176" s="48">
        <f>TVM!J176+KLM!J176+PTA!J176+ALP!J176+KTM!J176+IDK!J176+EKM!J176+TSR!J176+PLKD!J176+MLPM!J176+KKD!J176+WYND!J176+KNR!J176+KSRGD!J176+SHS!J176</f>
        <v>1505</v>
      </c>
      <c r="K176" s="21"/>
      <c r="L176" s="21">
        <f>TVM!L176+KLM!L176+PTA!L176+ALP!L176+KTM!L176+IDK!L176+EKM!L176+TSR!L176+PLKD!L176+MLPM!L176+KKD!L176+WYND!L176+KNR!L176+KSRGD!L176+SHS!L176</f>
        <v>0</v>
      </c>
      <c r="M176" s="21"/>
      <c r="N176" s="21">
        <f>TVM!N176+KLM!N176+PTA!N176+ALP!N176+KTM!N176+IDK!N176+EKM!N176+TSR!N176+PLKD!N176+MLPM!N176+KKD!N176+WYND!N176+KNR!N176+KSRGD!N176+SHS!N176</f>
        <v>0</v>
      </c>
      <c r="O176" s="21">
        <f>TVM!O176+KLM!O176+PTA!O176+ALP!O176+KTM!O176+IDK!O176+EKM!O176+TSR!O176+PLKD!O176+MLPM!O176+KKD!O176+WYND!O176+KNR!O176+KSRGD!O176+SHS!O176</f>
        <v>0</v>
      </c>
      <c r="P176" s="21">
        <f>TVM!P176+KLM!P176+PTA!P176+ALP!P176+KTM!P176+IDK!P176+EKM!P176+TSR!P176+PLKD!P176+MLPM!P176+KKD!P176+WYND!P176+KNR!P176+KSRGD!P176+SHS!P176</f>
        <v>0</v>
      </c>
      <c r="Q176" s="21"/>
      <c r="R176" s="21">
        <f>TVM!R176+KLM!R176+PTA!R176+ALP!R176+KTM!R176+IDK!R176+EKM!R176+TSR!R176+PLKD!R176+MLPM!R176+KKD!R176+WYND!R176+KNR!R176+KSRGD!R176+SHS!R176</f>
        <v>0</v>
      </c>
      <c r="S176" s="21"/>
      <c r="T176" s="21">
        <f>TVM!T176+KLM!T176+PTA!T176+ALP!T176+KTM!T176+IDK!T176+EKM!T176+TSR!T176+PLKD!T176+MLPM!T176+KKD!T176+WYND!T176+KNR!T176+KSRGD!T176+SHS!T176</f>
        <v>0</v>
      </c>
      <c r="U176" s="21"/>
      <c r="V176" s="21">
        <f>TVM!V176+KLM!V176+PTA!V176+ALP!V176+KTM!V176+IDK!V176+EKM!V176+TSR!V176+PLKD!V176+MLPM!V176+KKD!V176+WYND!V176+KNR!V176+KSRGD!V176+SHS!V176</f>
        <v>0</v>
      </c>
      <c r="W176" s="21"/>
      <c r="X176" s="54">
        <f t="shared" si="8"/>
        <v>1505</v>
      </c>
      <c r="Y176" s="55" t="s">
        <v>347</v>
      </c>
    </row>
    <row r="177" spans="1:25" ht="15.75">
      <c r="A177" s="498"/>
      <c r="B177" s="498"/>
      <c r="C177" s="498"/>
      <c r="D177" s="43">
        <v>168</v>
      </c>
      <c r="E177" s="43" t="s">
        <v>273</v>
      </c>
      <c r="F177" s="21">
        <f>TVM!F177+KLM!F177+PTA!F177+ALP!F177+KTM!F177+IDK!F177+EKM!F177+TSR!F177+PLKD!F177+MLPM!F177+KKD!F177+WYND!F177+KNR!F177+KSRGD!F177+SHS!F177</f>
        <v>0</v>
      </c>
      <c r="G177" s="21"/>
      <c r="H177" s="48">
        <f>TVM!H177+KLM!H177+PTA!H177+ALP!H177+KTM!H177+IDK!H177+EKM!H177+TSR!H177+PLKD!H177+MLPM!H177+KKD!H177+WYND!H177+KNR!H177+KSRGD!H177+SHS!H177</f>
        <v>369</v>
      </c>
      <c r="I177" s="48">
        <f>TVM!I177+KLM!I177+PTA!I177+ALP!I177+KTM!I177+IDK!I177+EKM!I177+TSR!I177+PLKD!I177+MLPM!I177+KKD!I177+WYND!I177+KNR!I177+KSRGD!I177+SHS!I177</f>
        <v>0</v>
      </c>
      <c r="J177" s="48">
        <f>TVM!J177+KLM!J177+PTA!J177+ALP!J177+KTM!J177+IDK!J177+EKM!J177+TSR!J177+PLKD!J177+MLPM!J177+KKD!J177+WYND!J177+KNR!J177+KSRGD!J177+SHS!J177</f>
        <v>369</v>
      </c>
      <c r="K177" s="21"/>
      <c r="L177" s="21">
        <f>TVM!L177+KLM!L177+PTA!L177+ALP!L177+KTM!L177+IDK!L177+EKM!L177+TSR!L177+PLKD!L177+MLPM!L177+KKD!L177+WYND!L177+KNR!L177+KSRGD!L177+SHS!L177</f>
        <v>0</v>
      </c>
      <c r="M177" s="21"/>
      <c r="N177" s="21">
        <f>TVM!N177+KLM!N177+PTA!N177+ALP!N177+KTM!N177+IDK!N177+EKM!N177+TSR!N177+PLKD!N177+MLPM!N177+KKD!N177+WYND!N177+KNR!N177+KSRGD!N177+SHS!N177</f>
        <v>0</v>
      </c>
      <c r="O177" s="21">
        <f>TVM!O177+KLM!O177+PTA!O177+ALP!O177+KTM!O177+IDK!O177+EKM!O177+TSR!O177+PLKD!O177+MLPM!O177+KKD!O177+WYND!O177+KNR!O177+KSRGD!O177+SHS!O177</f>
        <v>0</v>
      </c>
      <c r="P177" s="21">
        <f>TVM!P177+KLM!P177+PTA!P177+ALP!P177+KTM!P177+IDK!P177+EKM!P177+TSR!P177+PLKD!P177+MLPM!P177+KKD!P177+WYND!P177+KNR!P177+KSRGD!P177+SHS!P177</f>
        <v>0</v>
      </c>
      <c r="Q177" s="21"/>
      <c r="R177" s="21">
        <f>TVM!R177+KLM!R177+PTA!R177+ALP!R177+KTM!R177+IDK!R177+EKM!R177+TSR!R177+PLKD!R177+MLPM!R177+KKD!R177+WYND!R177+KNR!R177+KSRGD!R177+SHS!R177</f>
        <v>0</v>
      </c>
      <c r="S177" s="21"/>
      <c r="T177" s="21">
        <f>TVM!T177+KLM!T177+PTA!T177+ALP!T177+KTM!T177+IDK!T177+EKM!T177+TSR!T177+PLKD!T177+MLPM!T177+KKD!T177+WYND!T177+KNR!T177+KSRGD!T177+SHS!T177</f>
        <v>0</v>
      </c>
      <c r="U177" s="21"/>
      <c r="V177" s="21">
        <f>TVM!V177+KLM!V177+PTA!V177+ALP!V177+KTM!V177+IDK!V177+EKM!V177+TSR!V177+PLKD!V177+MLPM!V177+KKD!V177+WYND!V177+KNR!V177+KSRGD!V177+SHS!V177</f>
        <v>0</v>
      </c>
      <c r="W177" s="21"/>
      <c r="X177" s="54">
        <f t="shared" si="8"/>
        <v>369</v>
      </c>
      <c r="Y177" s="55" t="s">
        <v>347</v>
      </c>
    </row>
    <row r="178" spans="1:25" ht="47.25">
      <c r="A178" s="498"/>
      <c r="B178" s="498"/>
      <c r="C178" s="498"/>
      <c r="D178" s="43">
        <v>169</v>
      </c>
      <c r="E178" s="43" t="s">
        <v>274</v>
      </c>
      <c r="F178" s="21">
        <f>TVM!F178+KLM!F178+PTA!F178+ALP!F178+KTM!F178+IDK!F178+EKM!F178+TSR!F178+PLKD!F178+MLPM!F178+KKD!F178+WYND!F178+KNR!F178+KSRGD!F178+SHS!F178</f>
        <v>0</v>
      </c>
      <c r="G178" s="21"/>
      <c r="H178" s="48">
        <f>TVM!H178+KLM!H178+PTA!H178+ALP!H178+KTM!H178+IDK!H178+EKM!H178+TSR!H178+PLKD!H178+MLPM!H178+KKD!H178+WYND!H178+KNR!H178+KSRGD!H178+SHS!H178</f>
        <v>415</v>
      </c>
      <c r="I178" s="48">
        <f>TVM!I178+KLM!I178+PTA!I178+ALP!I178+KTM!I178+IDK!I178+EKM!I178+TSR!I178+PLKD!I178+MLPM!I178+KKD!I178+WYND!I178+KNR!I178+KSRGD!I178+SHS!I178</f>
        <v>0</v>
      </c>
      <c r="J178" s="48">
        <f>TVM!J178+KLM!J178+PTA!J178+ALP!J178+KTM!J178+IDK!J178+EKM!J178+TSR!J178+PLKD!J178+MLPM!J178+KKD!J178+WYND!J178+KNR!J178+KSRGD!J178+SHS!J178</f>
        <v>415</v>
      </c>
      <c r="K178" s="21"/>
      <c r="L178" s="22">
        <f>TVM!L178+KLM!L178+PTA!L178+ALP!L178+KTM!L178+IDK!L178+EKM!L178+TSR!L178+PLKD!L178+MLPM!L178+KKD!L178+WYND!L178+KNR!L178+KSRGD!L178+SHS!L178</f>
        <v>721.90909999999997</v>
      </c>
      <c r="M178" s="21"/>
      <c r="N178" s="21">
        <f>TVM!N178+KLM!N178+PTA!N178+ALP!N178+KTM!N178+IDK!N178+EKM!N178+TSR!N178+PLKD!N178+MLPM!N178+KKD!N178+WYND!N178+KNR!N178+KSRGD!N178+SHS!N178</f>
        <v>0</v>
      </c>
      <c r="O178" s="21">
        <f>TVM!O178+KLM!O178+PTA!O178+ALP!O178+KTM!O178+IDK!O178+EKM!O178+TSR!O178+PLKD!O178+MLPM!O178+KKD!O178+WYND!O178+KNR!O178+KSRGD!O178+SHS!O178</f>
        <v>0</v>
      </c>
      <c r="P178" s="21">
        <f>TVM!P178+KLM!P178+PTA!P178+ALP!P178+KTM!P178+IDK!P178+EKM!P178+TSR!P178+PLKD!P178+MLPM!P178+KKD!P178+WYND!P178+KNR!P178+KSRGD!P178+SHS!P178</f>
        <v>0</v>
      </c>
      <c r="Q178" s="21"/>
      <c r="R178" s="21">
        <f>TVM!R178+KLM!R178+PTA!R178+ALP!R178+KTM!R178+IDK!R178+EKM!R178+TSR!R178+PLKD!R178+MLPM!R178+KKD!R178+WYND!R178+KNR!R178+KSRGD!R178+SHS!R178</f>
        <v>0</v>
      </c>
      <c r="S178" s="21"/>
      <c r="T178" s="21">
        <f>TVM!T178+KLM!T178+PTA!T178+ALP!T178+KTM!T178+IDK!T178+EKM!T178+TSR!T178+PLKD!T178+MLPM!T178+KKD!T178+WYND!T178+KNR!T178+KSRGD!T178+SHS!T178</f>
        <v>0</v>
      </c>
      <c r="U178" s="21"/>
      <c r="V178" s="21">
        <f>TVM!V178+KLM!V178+PTA!V178+ALP!V178+KTM!V178+IDK!V178+EKM!V178+TSR!V178+PLKD!V178+MLPM!V178+KKD!V178+WYND!V178+KNR!V178+KSRGD!V178+SHS!V178</f>
        <v>0</v>
      </c>
      <c r="W178" s="21"/>
      <c r="X178" s="54">
        <f t="shared" si="8"/>
        <v>1136.9090999999999</v>
      </c>
      <c r="Y178" s="415" t="s">
        <v>435</v>
      </c>
    </row>
    <row r="179" spans="1:25" ht="78.75">
      <c r="A179" s="498"/>
      <c r="B179" s="496"/>
      <c r="C179" s="496"/>
      <c r="D179" s="43">
        <v>170</v>
      </c>
      <c r="E179" s="43" t="s">
        <v>275</v>
      </c>
      <c r="F179" s="21">
        <f>TVM!F179+KLM!F179+PTA!F179+ALP!F179+KTM!F179+IDK!F179+EKM!F179+TSR!F179+PLKD!F179+MLPM!F179+KKD!F179+WYND!F179+KNR!F179+KSRGD!F179+SHS!F179</f>
        <v>0</v>
      </c>
      <c r="G179" s="21"/>
      <c r="H179" s="21">
        <f>TVM!H179+KLM!H179+PTA!H179+ALP!H179+KTM!H179+IDK!H179+EKM!H179+TSR!H179+PLKD!H179+MLPM!H179+KKD!H179+WYND!H179+KNR!H179+KSRGD!H179+SHS!H179</f>
        <v>528</v>
      </c>
      <c r="I179" s="48">
        <f>TVM!I179+KLM!I179+PTA!I179+ALP!I179+KTM!I179+IDK!I179+EKM!I179+TSR!I179+PLKD!I179+MLPM!I179+KKD!I179+WYND!I179+KNR!I179+KSRGD!I179+SHS!I179</f>
        <v>20</v>
      </c>
      <c r="J179" s="48">
        <f>TVM!J179+KLM!J179+PTA!J179+ALP!J179+KTM!J179+IDK!J179+EKM!J179+TSR!J179+PLKD!J179+MLPM!J179+KKD!J179+WYND!J179+KNR!J179+KSRGD!J179+SHS!J179</f>
        <v>548</v>
      </c>
      <c r="K179" s="21"/>
      <c r="L179" s="21">
        <f>TVM!L179+KLM!L179+PTA!L179+ALP!L179+KTM!L179+IDK!L179+EKM!L179+TSR!L179+PLKD!L179+MLPM!L179+KKD!L179+WYND!L179+KNR!L179+KSRGD!L179+SHS!L179</f>
        <v>0</v>
      </c>
      <c r="M179" s="21"/>
      <c r="N179" s="21">
        <f>TVM!N179+KLM!N179+PTA!N179+ALP!N179+KTM!N179+IDK!N179+EKM!N179+TSR!N179+PLKD!N179+MLPM!N179+KKD!N179+WYND!N179+KNR!N179+KSRGD!N179+SHS!N179</f>
        <v>0</v>
      </c>
      <c r="O179" s="21">
        <f>TVM!O179+KLM!O179+PTA!O179+ALP!O179+KTM!O179+IDK!O179+EKM!O179+TSR!O179+PLKD!O179+MLPM!O179+KKD!O179+WYND!O179+KNR!O179+KSRGD!O179+SHS!O179</f>
        <v>0</v>
      </c>
      <c r="P179" s="21">
        <f>TVM!P179+KLM!P179+PTA!P179+ALP!P179+KTM!P179+IDK!P179+EKM!P179+TSR!P179+PLKD!P179+MLPM!P179+KKD!P179+WYND!P179+KNR!P179+KSRGD!P179+SHS!P179</f>
        <v>0</v>
      </c>
      <c r="Q179" s="21"/>
      <c r="R179" s="21">
        <f>TVM!R179+KLM!R179+PTA!R179+ALP!R179+KTM!R179+IDK!R179+EKM!R179+TSR!R179+PLKD!R179+MLPM!R179+KKD!R179+WYND!R179+KNR!R179+KSRGD!R179+SHS!R179</f>
        <v>0</v>
      </c>
      <c r="S179" s="21"/>
      <c r="T179" s="22">
        <f>TVM!T179+KLM!T179+PTA!T179+ALP!T179+KTM!T179+IDK!T179+EKM!T179+TSR!T179+PLKD!T179+MLPM!T179+KKD!T179+WYND!T179+KNR!T179+KSRGD!T179+SHS!T179</f>
        <v>0</v>
      </c>
      <c r="U179" s="21"/>
      <c r="V179" s="21">
        <f>TVM!V179+KLM!V179+PTA!V179+ALP!V179+KTM!V179+IDK!V179+EKM!V179+TSR!V179+PLKD!V179+MLPM!V179+KKD!V179+WYND!V179+KNR!V179+KSRGD!V179+SHS!V179</f>
        <v>0</v>
      </c>
      <c r="W179" s="21"/>
      <c r="X179" s="54">
        <f t="shared" si="8"/>
        <v>548</v>
      </c>
      <c r="Y179" s="55" t="s">
        <v>434</v>
      </c>
    </row>
    <row r="180" spans="1:25" ht="31.5">
      <c r="A180" s="498"/>
      <c r="B180" s="497" t="s">
        <v>276</v>
      </c>
      <c r="C180" s="497" t="s">
        <v>277</v>
      </c>
      <c r="D180" s="43">
        <v>171</v>
      </c>
      <c r="E180" s="43" t="s">
        <v>278</v>
      </c>
      <c r="F180" s="21">
        <f>TVM!F180+KLM!F180+PTA!F180+ALP!F180+KTM!F180+IDK!F180+EKM!F180+TSR!F180+PLKD!F180+MLPM!F180+KKD!F180+WYND!F180+KNR!F180+KSRGD!F180+SHS!F180</f>
        <v>0</v>
      </c>
      <c r="G180" s="21"/>
      <c r="H180" s="21">
        <f>TVM!H180+KLM!H180+PTA!H180+ALP!H180+KTM!H180+IDK!H180+EKM!H180+TSR!H180+PLKD!H180+MLPM!H180+KKD!H180+WYND!H180+KNR!H180+KSRGD!H180+SHS!H180</f>
        <v>0</v>
      </c>
      <c r="I180" s="21">
        <f>TVM!I180+KLM!I180+PTA!I180+ALP!I180+KTM!I180+IDK!I180+EKM!I180+TSR!I180+PLKD!I180+MLPM!I180+KKD!I180+WYND!I180+KNR!I180+KSRGD!I180+SHS!I180</f>
        <v>0</v>
      </c>
      <c r="J180" s="21">
        <f>TVM!J180+KLM!J180+PTA!J180+ALP!J180+KTM!J180+IDK!J180+EKM!J180+TSR!J180+PLKD!J180+MLPM!J180+KKD!J180+WYND!J180+KNR!J180+KSRGD!J180+SHS!J180</f>
        <v>0</v>
      </c>
      <c r="K180" s="21"/>
      <c r="L180" s="21">
        <f>TVM!L180+KLM!L180+PTA!L180+ALP!L180+KTM!L180+IDK!L180+EKM!L180+TSR!L180+PLKD!L180+MLPM!L180+KKD!L180+WYND!L180+KNR!L180+KSRGD!L180+SHS!L180</f>
        <v>0</v>
      </c>
      <c r="M180" s="21"/>
      <c r="N180" s="21">
        <f>TVM!N180+KLM!N180+PTA!N180+ALP!N180+KTM!N180+IDK!N180+EKM!N180+TSR!N180+PLKD!N180+MLPM!N180+KKD!N180+WYND!N180+KNR!N180+KSRGD!N180+SHS!N180</f>
        <v>0</v>
      </c>
      <c r="O180" s="21">
        <f>TVM!O180+KLM!O180+PTA!O180+ALP!O180+KTM!O180+IDK!O180+EKM!O180+TSR!O180+PLKD!O180+MLPM!O180+KKD!O180+WYND!O180+KNR!O180+KSRGD!O180+SHS!O180</f>
        <v>0</v>
      </c>
      <c r="P180" s="21">
        <f>TVM!P180+KLM!P180+PTA!P180+ALP!P180+KTM!P180+IDK!P180+EKM!P180+TSR!P180+PLKD!P180+MLPM!P180+KKD!P180+WYND!P180+KNR!P180+KSRGD!P180+SHS!P180</f>
        <v>0</v>
      </c>
      <c r="Q180" s="21"/>
      <c r="R180" s="21">
        <f>TVM!R180+KLM!R180+PTA!R180+ALP!R180+KTM!R180+IDK!R180+EKM!R180+TSR!R180+PLKD!R180+MLPM!R180+KKD!R180+WYND!R180+KNR!R180+KSRGD!R180+SHS!R180</f>
        <v>0</v>
      </c>
      <c r="S180" s="21"/>
      <c r="T180" s="22">
        <f>TVM!T180+KLM!T180+PTA!T180+ALP!T180+KTM!T180+IDK!T180+EKM!T180+TSR!T180+PLKD!T180+MLPM!T180+KKD!T180+WYND!T180+KNR!T180+KSRGD!T180+SHS!T180</f>
        <v>0</v>
      </c>
      <c r="U180" s="25"/>
      <c r="V180" s="21">
        <f>TVM!V180+KLM!V180+PTA!V180+ALP!V180+KTM!V180+IDK!V180+EKM!V180+TSR!V180+PLKD!V180+MLPM!V180+KKD!V180+WYND!V180+KNR!V180+KSRGD!V180+SHS!V180</f>
        <v>0</v>
      </c>
      <c r="W180" s="25"/>
      <c r="X180" s="22">
        <f t="shared" si="8"/>
        <v>0</v>
      </c>
      <c r="Y180" s="25"/>
    </row>
    <row r="181" spans="1:25" ht="47.25">
      <c r="A181" s="498"/>
      <c r="B181" s="498"/>
      <c r="C181" s="498"/>
      <c r="D181" s="43">
        <v>172</v>
      </c>
      <c r="E181" s="43" t="s">
        <v>279</v>
      </c>
      <c r="F181" s="21">
        <f>TVM!F181+KLM!F181+PTA!F181+ALP!F181+KTM!F181+IDK!F181+EKM!F181+TSR!F181+PLKD!F181+MLPM!F181+KKD!F181+WYND!F181+KNR!F181+KSRGD!F181+SHS!F181</f>
        <v>0</v>
      </c>
      <c r="G181" s="21"/>
      <c r="H181" s="21">
        <f>TVM!H181+KLM!H181+PTA!H181+ALP!H181+KTM!H181+IDK!H181+EKM!H181+TSR!H181+PLKD!H181+MLPM!H181+KKD!H181+WYND!H181+KNR!H181+KSRGD!H181+SHS!H181</f>
        <v>0</v>
      </c>
      <c r="I181" s="21">
        <f>TVM!I181+KLM!I181+PTA!I181+ALP!I181+KTM!I181+IDK!I181+EKM!I181+TSR!I181+PLKD!I181+MLPM!I181+KKD!I181+WYND!I181+KNR!I181+KSRGD!I181+SHS!I181</f>
        <v>0</v>
      </c>
      <c r="J181" s="21">
        <f>TVM!J181+KLM!J181+PTA!J181+ALP!J181+KTM!J181+IDK!J181+EKM!J181+TSR!J181+PLKD!J181+MLPM!J181+KKD!J181+WYND!J181+KNR!J181+KSRGD!J181+SHS!J181</f>
        <v>0</v>
      </c>
      <c r="K181" s="21"/>
      <c r="L181" s="21">
        <f>TVM!L181+KLM!L181+PTA!L181+ALP!L181+KTM!L181+IDK!L181+EKM!L181+TSR!L181+PLKD!L181+MLPM!L181+KKD!L181+WYND!L181+KNR!L181+KSRGD!L181+SHS!L181</f>
        <v>0</v>
      </c>
      <c r="M181" s="21"/>
      <c r="N181" s="21">
        <f>TVM!N181+KLM!N181+PTA!N181+ALP!N181+KTM!N181+IDK!N181+EKM!N181+TSR!N181+PLKD!N181+MLPM!N181+KKD!N181+WYND!N181+KNR!N181+KSRGD!N181+SHS!N181</f>
        <v>0</v>
      </c>
      <c r="O181" s="21">
        <f>TVM!O181+KLM!O181+PTA!O181+ALP!O181+KTM!O181+IDK!O181+EKM!O181+TSR!O181+PLKD!O181+MLPM!O181+KKD!O181+WYND!O181+KNR!O181+KSRGD!O181+SHS!O181</f>
        <v>0</v>
      </c>
      <c r="P181" s="21">
        <f>TVM!P181+KLM!P181+PTA!P181+ALP!P181+KTM!P181+IDK!P181+EKM!P181+TSR!P181+PLKD!P181+MLPM!P181+KKD!P181+WYND!P181+KNR!P181+KSRGD!P181+SHS!P181</f>
        <v>0</v>
      </c>
      <c r="Q181" s="21"/>
      <c r="R181" s="21">
        <f>TVM!R181+KLM!R181+PTA!R181+ALP!R181+KTM!R181+IDK!R181+EKM!R181+TSR!R181+PLKD!R181+MLPM!R181+KKD!R181+WYND!R181+KNR!R181+KSRGD!R181+SHS!R181</f>
        <v>0</v>
      </c>
      <c r="S181" s="21"/>
      <c r="T181" s="22">
        <f>TVM!T181+KLM!T181+PTA!T181+ALP!T181+KTM!T181+IDK!T181+EKM!T181+TSR!T181+PLKD!T181+MLPM!T181+KKD!T181+WYND!T181+KNR!T181+KSRGD!T181+SHS!T181</f>
        <v>7193.2664000000004</v>
      </c>
      <c r="U181" s="25"/>
      <c r="V181" s="21">
        <f>TVM!V181+KLM!V181+PTA!V181+ALP!V181+KTM!V181+IDK!V181+EKM!V181+TSR!V181+PLKD!V181+MLPM!V181+KKD!V181+WYND!V181+KNR!V181+KSRGD!V181+SHS!V181</f>
        <v>0</v>
      </c>
      <c r="W181" s="21"/>
      <c r="X181" s="22">
        <f t="shared" si="8"/>
        <v>7193.2664000000004</v>
      </c>
      <c r="Y181" s="25" t="s">
        <v>436</v>
      </c>
    </row>
    <row r="182" spans="1:25" ht="31.5">
      <c r="A182" s="498"/>
      <c r="B182" s="498"/>
      <c r="C182" s="498"/>
      <c r="D182" s="43">
        <v>173</v>
      </c>
      <c r="E182" s="43" t="s">
        <v>280</v>
      </c>
      <c r="F182" s="21">
        <f>TVM!F182+KLM!F182+PTA!F182+ALP!F182+KTM!F182+IDK!F182+EKM!F182+TSR!F182+PLKD!F182+MLPM!F182+KKD!F182+WYND!F182+KNR!F182+KSRGD!F182+SHS!F182</f>
        <v>0</v>
      </c>
      <c r="G182" s="21"/>
      <c r="H182" s="21">
        <f>TVM!H182+KLM!H182+PTA!H182+ALP!H182+KTM!H182+IDK!H182+EKM!H182+TSR!H182+PLKD!H182+MLPM!H182+KKD!H182+WYND!H182+KNR!H182+KSRGD!H182+SHS!H182</f>
        <v>0</v>
      </c>
      <c r="I182" s="21">
        <f>TVM!I182+KLM!I182+PTA!I182+ALP!I182+KTM!I182+IDK!I182+EKM!I182+TSR!I182+PLKD!I182+MLPM!I182+KKD!I182+WYND!I182+KNR!I182+KSRGD!I182+SHS!I182</f>
        <v>0</v>
      </c>
      <c r="J182" s="21">
        <f>TVM!J182+KLM!J182+PTA!J182+ALP!J182+KTM!J182+IDK!J182+EKM!J182+TSR!J182+PLKD!J182+MLPM!J182+KKD!J182+WYND!J182+KNR!J182+KSRGD!J182+SHS!J182</f>
        <v>0</v>
      </c>
      <c r="K182" s="21"/>
      <c r="L182" s="21">
        <f>TVM!L182+KLM!L182+PTA!L182+ALP!L182+KTM!L182+IDK!L182+EKM!L182+TSR!L182+PLKD!L182+MLPM!L182+KKD!L182+WYND!L182+KNR!L182+KSRGD!L182+SHS!L182</f>
        <v>0</v>
      </c>
      <c r="M182" s="21"/>
      <c r="N182" s="21">
        <f>TVM!N182+KLM!N182+PTA!N182+ALP!N182+KTM!N182+IDK!N182+EKM!N182+TSR!N182+PLKD!N182+MLPM!N182+KKD!N182+WYND!N182+KNR!N182+KSRGD!N182+SHS!N182</f>
        <v>0</v>
      </c>
      <c r="O182" s="21">
        <f>TVM!O182+KLM!O182+PTA!O182+ALP!O182+KTM!O182+IDK!O182+EKM!O182+TSR!O182+PLKD!O182+MLPM!O182+KKD!O182+WYND!O182+KNR!O182+KSRGD!O182+SHS!O182</f>
        <v>0</v>
      </c>
      <c r="P182" s="21">
        <f>TVM!P182+KLM!P182+PTA!P182+ALP!P182+KTM!P182+IDK!P182+EKM!P182+TSR!P182+PLKD!P182+MLPM!P182+KKD!P182+WYND!P182+KNR!P182+KSRGD!P182+SHS!P182</f>
        <v>0</v>
      </c>
      <c r="Q182" s="21"/>
      <c r="R182" s="21">
        <f>TVM!R182+KLM!R182+PTA!R182+ALP!R182+KTM!R182+IDK!R182+EKM!R182+TSR!R182+PLKD!R182+MLPM!R182+KKD!R182+WYND!R182+KNR!R182+KSRGD!R182+SHS!R182</f>
        <v>0</v>
      </c>
      <c r="S182" s="21"/>
      <c r="T182" s="21">
        <f>TVM!T182+KLM!T182+PTA!T182+ALP!T182+KTM!T182+IDK!T182+EKM!T182+TSR!T182+PLKD!T182+MLPM!T182+KKD!T182+WYND!T182+KNR!T182+KSRGD!T182+SHS!T182</f>
        <v>0</v>
      </c>
      <c r="U182" s="21"/>
      <c r="V182" s="21">
        <f>TVM!V182+KLM!V182+PTA!V182+ALP!V182+KTM!V182+IDK!V182+EKM!V182+TSR!V182+PLKD!V182+MLPM!V182+KKD!V182+WYND!V182+KNR!V182+KSRGD!V182+SHS!V182</f>
        <v>0</v>
      </c>
      <c r="W182" s="21"/>
      <c r="X182" s="22">
        <f t="shared" si="8"/>
        <v>0</v>
      </c>
      <c r="Y182" s="46"/>
    </row>
    <row r="183" spans="1:25" ht="15.75">
      <c r="A183" s="498"/>
      <c r="B183" s="496"/>
      <c r="C183" s="496"/>
      <c r="D183" s="43">
        <v>174</v>
      </c>
      <c r="E183" s="43" t="s">
        <v>281</v>
      </c>
      <c r="F183" s="21">
        <f>TVM!F183+KLM!F183+PTA!F183+ALP!F183+KTM!F183+IDK!F183+EKM!F183+TSR!F183+PLKD!F183+MLPM!F183+KKD!F183+WYND!F183+KNR!F183+KSRGD!F183+SHS!F183</f>
        <v>0</v>
      </c>
      <c r="G183" s="21"/>
      <c r="H183" s="21">
        <f>TVM!H183+KLM!H183+PTA!H183+ALP!H183+KTM!H183+IDK!H183+EKM!H183+TSR!H183+PLKD!H183+MLPM!H183+KKD!H183+WYND!H183+KNR!H183+KSRGD!H183+SHS!H183</f>
        <v>0</v>
      </c>
      <c r="I183" s="21">
        <f>TVM!I183+KLM!I183+PTA!I183+ALP!I183+KTM!I183+IDK!I183+EKM!I183+TSR!I183+PLKD!I183+MLPM!I183+KKD!I183+WYND!I183+KNR!I183+KSRGD!I183+SHS!I183</f>
        <v>0</v>
      </c>
      <c r="J183" s="21">
        <f>TVM!J183+KLM!J183+PTA!J183+ALP!J183+KTM!J183+IDK!J183+EKM!J183+TSR!J183+PLKD!J183+MLPM!J183+KKD!J183+WYND!J183+KNR!J183+KSRGD!J183+SHS!J183</f>
        <v>0</v>
      </c>
      <c r="K183" s="21"/>
      <c r="L183" s="21">
        <f>TVM!L183+KLM!L183+PTA!L183+ALP!L183+KTM!L183+IDK!L183+EKM!L183+TSR!L183+PLKD!L183+MLPM!L183+KKD!L183+WYND!L183+KNR!L183+KSRGD!L183+SHS!L183</f>
        <v>0</v>
      </c>
      <c r="M183" s="21"/>
      <c r="N183" s="21">
        <f>TVM!N183+KLM!N183+PTA!N183+ALP!N183+KTM!N183+IDK!N183+EKM!N183+TSR!N183+PLKD!N183+MLPM!N183+KKD!N183+WYND!N183+KNR!N183+KSRGD!N183+SHS!N183</f>
        <v>0</v>
      </c>
      <c r="O183" s="21">
        <f>TVM!O183+KLM!O183+PTA!O183+ALP!O183+KTM!O183+IDK!O183+EKM!O183+TSR!O183+PLKD!O183+MLPM!O183+KKD!O183+WYND!O183+KNR!O183+KSRGD!O183+SHS!O183</f>
        <v>0</v>
      </c>
      <c r="P183" s="21">
        <f>TVM!P183+KLM!P183+PTA!P183+ALP!P183+KTM!P183+IDK!P183+EKM!P183+TSR!P183+PLKD!P183+MLPM!P183+KKD!P183+WYND!P183+KNR!P183+KSRGD!P183+SHS!P183</f>
        <v>0</v>
      </c>
      <c r="Q183" s="21"/>
      <c r="R183" s="21">
        <f>TVM!R183+KLM!R183+PTA!R183+ALP!R183+KTM!R183+IDK!R183+EKM!R183+TSR!R183+PLKD!R183+MLPM!R183+KKD!R183+WYND!R183+KNR!R183+KSRGD!R183+SHS!R183</f>
        <v>0</v>
      </c>
      <c r="S183" s="21"/>
      <c r="T183" s="22">
        <f>TVM!T183+KLM!T183+PTA!T183+ALP!T183+KTM!T183+IDK!T183+EKM!T183+TSR!T183+PLKD!T183+MLPM!T183+KKD!T183+WYND!T183+KNR!T183+KSRGD!T183+SHS!T183</f>
        <v>0</v>
      </c>
      <c r="U183" s="21"/>
      <c r="V183" s="21">
        <f>TVM!V183+KLM!V183+PTA!V183+ALP!V183+KTM!V183+IDK!V183+EKM!V183+TSR!V183+PLKD!V183+MLPM!V183+KKD!V183+WYND!V183+KNR!V183+KSRGD!V183+SHS!V183</f>
        <v>0</v>
      </c>
      <c r="W183" s="21"/>
      <c r="X183" s="22">
        <f t="shared" si="8"/>
        <v>0</v>
      </c>
      <c r="Y183" s="46"/>
    </row>
    <row r="184" spans="1:25" ht="409.5">
      <c r="A184" s="498"/>
      <c r="B184" s="497" t="s">
        <v>282</v>
      </c>
      <c r="C184" s="497" t="s">
        <v>230</v>
      </c>
      <c r="D184" s="43">
        <v>175</v>
      </c>
      <c r="E184" s="43" t="s">
        <v>231</v>
      </c>
      <c r="F184" s="21">
        <f>TVM!F184+KLM!F184+PTA!F184+ALP!F184+KTM!F184+IDK!F184+EKM!F184+TSR!F184+PLKD!F184+MLPM!F184+KKD!F184+WYND!F184+KNR!F184+KSRGD!F184+SHS!F184</f>
        <v>0</v>
      </c>
      <c r="G184" s="21"/>
      <c r="H184" s="21">
        <f>TVM!H184+KLM!H184+PTA!H184+ALP!H184+KTM!H184+IDK!H184+EKM!H184+TSR!H184+PLKD!H184+MLPM!H184+KKD!H184+WYND!H184+KNR!H184+KSRGD!H184+SHS!H184</f>
        <v>0</v>
      </c>
      <c r="I184" s="21">
        <f>TVM!I184+KLM!I184+PTA!I184+ALP!I184+KTM!I184+IDK!I184+EKM!I184+TSR!I184+PLKD!I184+MLPM!I184+KKD!I184+WYND!I184+KNR!I184+KSRGD!I184+SHS!I184</f>
        <v>0</v>
      </c>
      <c r="J184" s="21">
        <f>TVM!J184+KLM!J184+PTA!J184+ALP!J184+KTM!J184+IDK!J184+EKM!J184+TSR!J184+PLKD!J184+MLPM!J184+KKD!J184+WYND!J184+KNR!J184+KSRGD!J184+SHS!J184</f>
        <v>0</v>
      </c>
      <c r="K184" s="21"/>
      <c r="L184" s="48">
        <f>TVM!L184+KLM!L184+PTA!L184+ALP!L184+KTM!L184+IDK!L184+EKM!L184+TSR!L184+PLKD!L184+MLPM!L184+KKD!L184+WYND!L184+KNR!L184+KSRGD!L184+SHS!L184</f>
        <v>0</v>
      </c>
      <c r="M184" s="21"/>
      <c r="N184" s="48">
        <f>TVM!N184+KLM!N184+PTA!N184+ALP!N184+KTM!N184+IDK!N184+EKM!N184+TSR!N184+PLKD!N184+MLPM!N184+KKD!N184+WYND!N184+KNR!N184+KSRGD!N184+SHS!N184</f>
        <v>0</v>
      </c>
      <c r="O184" s="21">
        <f>TVM!O184+KLM!O184+PTA!O184+ALP!O184+KTM!O184+IDK!O184+EKM!O184+TSR!O184+PLKD!O184+MLPM!O184+KKD!O184+WYND!O184+KNR!O184+KSRGD!O184+SHS!O184</f>
        <v>0</v>
      </c>
      <c r="P184" s="48">
        <f>TVM!P184+KLM!P184+PTA!P184+ALP!P184+KTM!P184+IDK!P184+EKM!P184+TSR!P184+PLKD!P184+MLPM!P184+KKD!P184+WYND!P184+KNR!P184+KSRGD!P184+SHS!P184</f>
        <v>0</v>
      </c>
      <c r="Q184" s="21"/>
      <c r="R184" s="21">
        <f>TVM!R184+KLM!R184+PTA!R184+ALP!R184+KTM!R184+IDK!R184+EKM!R184+TSR!R184+PLKD!R184+MLPM!R184+KKD!R184+WYND!R184+KNR!R184+KSRGD!R184+SHS!R184</f>
        <v>0</v>
      </c>
      <c r="S184" s="21"/>
      <c r="T184" s="48">
        <f>TVM!T184+KLM!T184+PTA!T184+ALP!T184+KTM!T184+IDK!T184+EKM!T184+TSR!T184+PLKD!T184+MLPM!T184+KKD!T184+WYND!T184+KNR!T184+KSRGD!T184+SHS!T184</f>
        <v>2203.7800000000002</v>
      </c>
      <c r="U184" s="21"/>
      <c r="V184" s="48">
        <f>TVM!V184+KLM!V184+PTA!V184+ALP!V184+KTM!V184+IDK!V184+EKM!V184+TSR!V184+PLKD!V184+MLPM!V184+KKD!V184+WYND!V184+KNR!V184+KSRGD!V184+SHS!V184</f>
        <v>0</v>
      </c>
      <c r="W184" s="21"/>
      <c r="X184" s="22">
        <f t="shared" si="8"/>
        <v>2203.7800000000002</v>
      </c>
      <c r="Y184" s="46" t="s">
        <v>707</v>
      </c>
    </row>
    <row r="185" spans="1:25" ht="409.5">
      <c r="A185" s="498"/>
      <c r="B185" s="498"/>
      <c r="C185" s="498"/>
      <c r="D185" s="43">
        <v>176</v>
      </c>
      <c r="E185" s="43" t="s">
        <v>232</v>
      </c>
      <c r="F185" s="21">
        <f>TVM!F185+KLM!F185+PTA!F185+ALP!F185+KTM!F185+IDK!F185+EKM!F185+TSR!F185+PLKD!F185+MLPM!F185+KKD!F185+WYND!F185+KNR!F185+KSRGD!F185+SHS!F185</f>
        <v>0</v>
      </c>
      <c r="G185" s="21"/>
      <c r="H185" s="21">
        <f>TVM!H185+KLM!H185+PTA!H185+ALP!H185+KTM!H185+IDK!H185+EKM!H185+TSR!H185+PLKD!H185+MLPM!H185+KKD!H185+WYND!H185+KNR!H185+KSRGD!H185+SHS!H185</f>
        <v>0</v>
      </c>
      <c r="I185" s="21">
        <f>TVM!I185+KLM!I185+PTA!I185+ALP!I185+KTM!I185+IDK!I185+EKM!I185+TSR!I185+PLKD!I185+MLPM!I185+KKD!I185+WYND!I185+KNR!I185+KSRGD!I185+SHS!I185</f>
        <v>0</v>
      </c>
      <c r="J185" s="21">
        <f>TVM!J185+KLM!J185+PTA!J185+ALP!J185+KTM!J185+IDK!J185+EKM!J185+TSR!J185+PLKD!J185+MLPM!J185+KKD!J185+WYND!J185+KNR!J185+KSRGD!J185+SHS!J185</f>
        <v>0</v>
      </c>
      <c r="K185" s="21"/>
      <c r="L185" s="21">
        <f>TVM!L185+KLM!L185+PTA!L185+ALP!L185+KTM!L185+IDK!L185+EKM!L185+TSR!L185+PLKD!L185+MLPM!L185+KKD!L185+WYND!L185+KNR!L185+KSRGD!L185+SHS!L185</f>
        <v>0</v>
      </c>
      <c r="M185" s="21"/>
      <c r="N185" s="21">
        <f>TVM!N185+KLM!N185+PTA!N185+ALP!N185+KTM!N185+IDK!N185+EKM!N185+TSR!N185+PLKD!N185+MLPM!N185+KKD!N185+WYND!N185+KNR!N185+KSRGD!N185+SHS!N185</f>
        <v>0</v>
      </c>
      <c r="O185" s="21">
        <f>TVM!O185+KLM!O185+PTA!O185+ALP!O185+KTM!O185+IDK!O185+EKM!O185+TSR!O185+PLKD!O185+MLPM!O185+KKD!O185+WYND!O185+KNR!O185+KSRGD!O185+SHS!O185</f>
        <v>0</v>
      </c>
      <c r="P185" s="21">
        <f>TVM!P185+KLM!P185+PTA!P185+ALP!P185+KTM!P185+IDK!P185+EKM!P185+TSR!P185+PLKD!P185+MLPM!P185+KKD!P185+WYND!P185+KNR!P185+KSRGD!P185+SHS!P185</f>
        <v>0</v>
      </c>
      <c r="Q185" s="21"/>
      <c r="R185" s="48">
        <f>TVM!R185+KLM!R185+PTA!R185+ALP!R185+KTM!R185+IDK!R185+EKM!R185+TSR!R185+PLKD!R185+MLPM!R185+KKD!R185+WYND!R185+KNR!R185+KSRGD!R185+SHS!R185</f>
        <v>132</v>
      </c>
      <c r="S185" s="21"/>
      <c r="T185" s="48">
        <f>TVM!T185+KLM!T185+PTA!T185+ALP!T185+KTM!T185+IDK!T185+EKM!T185+TSR!T185+PLKD!T185+MLPM!T185+KKD!T185+WYND!T185+KNR!T185+KSRGD!T185+SHS!T185</f>
        <v>975.93000000000006</v>
      </c>
      <c r="U185" s="21"/>
      <c r="V185" s="21">
        <f>TVM!V185+KLM!V185+PTA!V185+ALP!V185+KTM!V185+IDK!V185+EKM!V185+TSR!V185+PLKD!V185+MLPM!V185+KKD!V185+WYND!V185+KNR!V185+KSRGD!V185+SHS!V185</f>
        <v>0</v>
      </c>
      <c r="W185" s="21"/>
      <c r="X185" s="22">
        <f t="shared" si="8"/>
        <v>1107.93</v>
      </c>
      <c r="Y185" s="80" t="s">
        <v>549</v>
      </c>
    </row>
    <row r="186" spans="1:25" ht="29.25" customHeight="1">
      <c r="A186" s="498"/>
      <c r="B186" s="496"/>
      <c r="C186" s="496"/>
      <c r="D186" s="43">
        <v>177</v>
      </c>
      <c r="E186" s="43" t="s">
        <v>233</v>
      </c>
      <c r="F186" s="21">
        <f>TVM!F186+KLM!F186+PTA!F186+ALP!F186+KTM!F186+IDK!F186+EKM!F186+TSR!F186+PLKD!F186+MLPM!F186+KKD!F186+WYND!F186+KNR!F186+KSRGD!F186+SHS!F186</f>
        <v>0</v>
      </c>
      <c r="G186" s="21"/>
      <c r="H186" s="21">
        <f>TVM!H186+KLM!H186+PTA!H186+ALP!H186+KTM!H186+IDK!H186+EKM!H186+TSR!H186+PLKD!H186+MLPM!H186+KKD!H186+WYND!H186+KNR!H186+KSRGD!H186+SHS!H186</f>
        <v>0</v>
      </c>
      <c r="I186" s="21">
        <f>TVM!I186+KLM!I186+PTA!I186+ALP!I186+KTM!I186+IDK!I186+EKM!I186+TSR!I186+PLKD!I186+MLPM!I186+KKD!I186+WYND!I186+KNR!I186+KSRGD!I186+SHS!I186</f>
        <v>0</v>
      </c>
      <c r="J186" s="21">
        <f>TVM!J186+KLM!J186+PTA!J186+ALP!J186+KTM!J186+IDK!J186+EKM!J186+TSR!J186+PLKD!J186+MLPM!J186+KKD!J186+WYND!J186+KNR!J186+KSRGD!J186+SHS!J186</f>
        <v>0</v>
      </c>
      <c r="K186" s="21"/>
      <c r="L186" s="21">
        <f>TVM!L186+KLM!L186+PTA!L186+ALP!L186+KTM!L186+IDK!L186+EKM!L186+TSR!L186+PLKD!L186+MLPM!L186+KKD!L186+WYND!L186+KNR!L186+KSRGD!L186+SHS!L186</f>
        <v>0</v>
      </c>
      <c r="M186" s="21"/>
      <c r="N186" s="21">
        <f>TVM!N186+KLM!N186+PTA!N186+ALP!N186+KTM!N186+IDK!N186+EKM!N186+TSR!N186+PLKD!N186+MLPM!N186+KKD!N186+WYND!N186+KNR!N186+KSRGD!N186+SHS!N186</f>
        <v>0</v>
      </c>
      <c r="O186" s="21">
        <f>TVM!O186+KLM!O186+PTA!O186+ALP!O186+KTM!O186+IDK!O186+EKM!O186+TSR!O186+PLKD!O186+MLPM!O186+KKD!O186+WYND!O186+KNR!O186+KSRGD!O186+SHS!O186</f>
        <v>0</v>
      </c>
      <c r="P186" s="21">
        <f>TVM!P186+KLM!P186+PTA!P186+ALP!P186+KTM!P186+IDK!P186+EKM!P186+TSR!P186+PLKD!P186+MLPM!P186+KKD!P186+WYND!P186+KNR!P186+KSRGD!P186+SHS!P186</f>
        <v>0</v>
      </c>
      <c r="Q186" s="21"/>
      <c r="R186" s="21">
        <f>TVM!R186+KLM!R186+PTA!R186+ALP!R186+KTM!R186+IDK!R186+EKM!R186+TSR!R186+PLKD!R186+MLPM!R186+KKD!R186+WYND!R186+KNR!R186+KSRGD!R186+SHS!R186</f>
        <v>0</v>
      </c>
      <c r="S186" s="21"/>
      <c r="T186" s="21">
        <f>TVM!T186+KLM!T186+PTA!T186+ALP!T186+KTM!T186+IDK!T186+EKM!T186+TSR!T186+PLKD!T186+MLPM!T186+KKD!T186+WYND!T186+KNR!T186+KSRGD!T186+SHS!T186</f>
        <v>0</v>
      </c>
      <c r="U186" s="21"/>
      <c r="V186" s="21">
        <f>TVM!V186+KLM!V186+PTA!V186+ALP!V186+KTM!V186+IDK!V186+EKM!V186+TSR!V186+PLKD!V186+MLPM!V186+KKD!V186+WYND!V186+KNR!V186+KSRGD!V186+SHS!V186</f>
        <v>0</v>
      </c>
      <c r="W186" s="21"/>
      <c r="X186" s="22">
        <f t="shared" si="8"/>
        <v>0</v>
      </c>
      <c r="Y186" s="61"/>
    </row>
    <row r="187" spans="1:25" ht="63">
      <c r="A187" s="498"/>
      <c r="B187" s="497" t="s">
        <v>283</v>
      </c>
      <c r="C187" s="497" t="s">
        <v>284</v>
      </c>
      <c r="D187" s="43">
        <v>178</v>
      </c>
      <c r="E187" s="43" t="s">
        <v>285</v>
      </c>
      <c r="F187" s="21">
        <f>TVM!F187+KLM!F187+PTA!F187+ALP!F187+KTM!F187+IDK!F187+EKM!F187+TSR!F187+PLKD!F187+MLPM!F187+KKD!F187+WYND!F187+KNR!F187+KSRGD!F187+SHS!F187</f>
        <v>0</v>
      </c>
      <c r="G187" s="21"/>
      <c r="H187" s="21">
        <f>TVM!H187+KLM!H187+PTA!H187+ALP!H187+KTM!H187+IDK!H187+EKM!H187+TSR!H187+PLKD!H187+MLPM!H187+KKD!H187+WYND!H187+KNR!H187+KSRGD!H187+SHS!H187</f>
        <v>0</v>
      </c>
      <c r="I187" s="21">
        <f>TVM!I187+KLM!I187+PTA!I187+ALP!I187+KTM!I187+IDK!I187+EKM!I187+TSR!I187+PLKD!I187+MLPM!I187+KKD!I187+WYND!I187+KNR!I187+KSRGD!I187+SHS!I187</f>
        <v>0</v>
      </c>
      <c r="J187" s="21">
        <f>TVM!J187+KLM!J187+PTA!J187+ALP!J187+KTM!J187+IDK!J187+EKM!J187+TSR!J187+PLKD!J187+MLPM!J187+KKD!J187+WYND!J187+KNR!J187+KSRGD!J187+SHS!J187</f>
        <v>0</v>
      </c>
      <c r="K187" s="21"/>
      <c r="L187" s="21">
        <f>TVM!L187+KLM!L187+PTA!L187+ALP!L187+KTM!L187+IDK!L187+EKM!L187+TSR!L187+PLKD!L187+MLPM!L187+KKD!L187+WYND!L187+KNR!L187+KSRGD!L187+SHS!L187</f>
        <v>0</v>
      </c>
      <c r="M187" s="21"/>
      <c r="N187" s="21">
        <f>TVM!N187+KLM!N187+PTA!N187+ALP!N187+KTM!N187+IDK!N187+EKM!N187+TSR!N187+PLKD!N187+MLPM!N187+KKD!N187+WYND!N187+KNR!N187+KSRGD!N187+SHS!N187</f>
        <v>0</v>
      </c>
      <c r="O187" s="21">
        <f>TVM!O187+KLM!O187+PTA!O187+ALP!O187+KTM!O187+IDK!O187+EKM!O187+TSR!O187+PLKD!O187+MLPM!O187+KKD!O187+WYND!O187+KNR!O187+KSRGD!O187+SHS!O187</f>
        <v>0</v>
      </c>
      <c r="P187" s="21">
        <f>TVM!P187+KLM!P187+PTA!P187+ALP!P187+KTM!P187+IDK!P187+EKM!P187+TSR!P187+PLKD!P187+MLPM!P187+KKD!P187+WYND!P187+KNR!P187+KSRGD!P187+SHS!P187</f>
        <v>0</v>
      </c>
      <c r="Q187" s="21"/>
      <c r="R187" s="21">
        <f>TVM!R187+KLM!R187+PTA!R187+ALP!R187+KTM!R187+IDK!R187+EKM!R187+TSR!R187+PLKD!R187+MLPM!R187+KKD!R187+WYND!R187+KNR!R187+KSRGD!R187+SHS!R187</f>
        <v>0</v>
      </c>
      <c r="S187" s="21"/>
      <c r="T187" s="22">
        <f>TVM!T187+KLM!T187+PTA!T187+ALP!T187+KTM!T187+IDK!T187+EKM!T187+TSR!T187+PLKD!T187+MLPM!T187+KKD!T187+WYND!T187+KNR!T187+KSRGD!T187+SHS!T187</f>
        <v>140.4</v>
      </c>
      <c r="U187" s="21"/>
      <c r="V187" s="21">
        <f>TVM!V187+KLM!V187+PTA!V187+ALP!V187+KTM!V187+IDK!V187+EKM!V187+TSR!V187+PLKD!V187+MLPM!V187+KKD!V187+WYND!V187+KNR!V187+KSRGD!V187+SHS!V187</f>
        <v>0</v>
      </c>
      <c r="W187" s="21"/>
      <c r="X187" s="22">
        <f t="shared" si="8"/>
        <v>140.4</v>
      </c>
      <c r="Y187" s="46" t="s">
        <v>550</v>
      </c>
    </row>
    <row r="188" spans="1:25" ht="15.75">
      <c r="A188" s="498"/>
      <c r="B188" s="498"/>
      <c r="C188" s="498"/>
      <c r="D188" s="43">
        <v>179</v>
      </c>
      <c r="E188" s="43" t="s">
        <v>125</v>
      </c>
      <c r="F188" s="21">
        <f>TVM!F188+KLM!F188+PTA!F188+ALP!F188+KTM!F188+IDK!F188+EKM!F188+TSR!F188+PLKD!F188+MLPM!F188+KKD!F188+WYND!F188+KNR!F188+KSRGD!F188+SHS!F188</f>
        <v>0</v>
      </c>
      <c r="G188" s="21"/>
      <c r="H188" s="21">
        <f>TVM!H188+KLM!H188+PTA!H188+ALP!H188+KTM!H188+IDK!H188+EKM!H188+TSR!H188+PLKD!H188+MLPM!H188+KKD!H188+WYND!H188+KNR!H188+KSRGD!H188+SHS!H188</f>
        <v>0</v>
      </c>
      <c r="I188" s="21">
        <f>TVM!I188+KLM!I188+PTA!I188+ALP!I188+KTM!I188+IDK!I188+EKM!I188+TSR!I188+PLKD!I188+MLPM!I188+KKD!I188+WYND!I188+KNR!I188+KSRGD!I188+SHS!I188</f>
        <v>0</v>
      </c>
      <c r="J188" s="21">
        <f>TVM!J188+KLM!J188+PTA!J188+ALP!J188+KTM!J188+IDK!J188+EKM!J188+TSR!J188+PLKD!J188+MLPM!J188+KKD!J188+WYND!J188+KNR!J188+KSRGD!J188+SHS!J188</f>
        <v>0</v>
      </c>
      <c r="K188" s="21"/>
      <c r="L188" s="21">
        <f>TVM!L188+KLM!L188+PTA!L188+ALP!L188+KTM!L188+IDK!L188+EKM!L188+TSR!L188+PLKD!L188+MLPM!L188+KKD!L188+WYND!L188+KNR!L188+KSRGD!L188+SHS!L188</f>
        <v>0</v>
      </c>
      <c r="M188" s="21"/>
      <c r="N188" s="21">
        <f>TVM!N188+KLM!N188+PTA!N188+ALP!N188+KTM!N188+IDK!N188+EKM!N188+TSR!N188+PLKD!N188+MLPM!N188+KKD!N188+WYND!N188+KNR!N188+KSRGD!N188+SHS!N188</f>
        <v>0</v>
      </c>
      <c r="O188" s="21">
        <f>TVM!O188+KLM!O188+PTA!O188+ALP!O188+KTM!O188+IDK!O188+EKM!O188+TSR!O188+PLKD!O188+MLPM!O188+KKD!O188+WYND!O188+KNR!O188+KSRGD!O188+SHS!O188</f>
        <v>0</v>
      </c>
      <c r="P188" s="21">
        <f>TVM!P188+KLM!P188+PTA!P188+ALP!P188+KTM!P188+IDK!P188+EKM!P188+TSR!P188+PLKD!P188+MLPM!P188+KKD!P188+WYND!P188+KNR!P188+KSRGD!P188+SHS!P188</f>
        <v>0</v>
      </c>
      <c r="Q188" s="21"/>
      <c r="R188" s="21">
        <f>TVM!R188+KLM!R188+PTA!R188+ALP!R188+KTM!R188+IDK!R188+EKM!R188+TSR!R188+PLKD!R188+MLPM!R188+KKD!R188+WYND!R188+KNR!R188+KSRGD!R188+SHS!R188</f>
        <v>0</v>
      </c>
      <c r="S188" s="21"/>
      <c r="T188" s="21">
        <f>TVM!T188+KLM!T188+PTA!T188+ALP!T188+KTM!T188+IDK!T188+EKM!T188+TSR!T188+PLKD!T188+MLPM!T188+KKD!T188+WYND!T188+KNR!T188+KSRGD!T188+SHS!T188</f>
        <v>0</v>
      </c>
      <c r="U188" s="21"/>
      <c r="V188" s="21">
        <f>TVM!V188+KLM!V188+PTA!V188+ALP!V188+KTM!V188+IDK!V188+EKM!V188+TSR!V188+PLKD!V188+MLPM!V188+KKD!V188+WYND!V188+KNR!V188+KSRGD!V188+SHS!V188</f>
        <v>0</v>
      </c>
      <c r="W188" s="21"/>
      <c r="X188" s="22">
        <f t="shared" si="8"/>
        <v>0</v>
      </c>
      <c r="Y188" s="61"/>
    </row>
    <row r="189" spans="1:25" ht="141.75">
      <c r="A189" s="498"/>
      <c r="B189" s="498"/>
      <c r="C189" s="498"/>
      <c r="D189" s="43">
        <v>180</v>
      </c>
      <c r="E189" s="43" t="s">
        <v>286</v>
      </c>
      <c r="F189" s="21">
        <f>TVM!F189+KLM!F189+PTA!F189+ALP!F189+KTM!F189+IDK!F189+EKM!F189+TSR!F189+PLKD!F189+MLPM!F189+KKD!F189+WYND!F189+KNR!F189+KSRGD!F189+SHS!F189</f>
        <v>0</v>
      </c>
      <c r="G189" s="21"/>
      <c r="H189" s="21">
        <f>TVM!H189+KLM!H189+PTA!H189+ALP!H189+KTM!H189+IDK!H189+EKM!H189+TSR!H189+PLKD!H189+MLPM!H189+KKD!H189+WYND!H189+KNR!H189+KSRGD!H189+SHS!H189</f>
        <v>0</v>
      </c>
      <c r="I189" s="21">
        <f>TVM!I189+KLM!I189+PTA!I189+ALP!I189+KTM!I189+IDK!I189+EKM!I189+TSR!I189+PLKD!I189+MLPM!I189+KKD!I189+WYND!I189+KNR!I189+KSRGD!I189+SHS!I189</f>
        <v>0</v>
      </c>
      <c r="J189" s="21">
        <f>TVM!J189+KLM!J189+PTA!J189+ALP!J189+KTM!J189+IDK!J189+EKM!J189+TSR!J189+PLKD!J189+MLPM!J189+KKD!J189+WYND!J189+KNR!J189+KSRGD!J189+SHS!J189</f>
        <v>0</v>
      </c>
      <c r="K189" s="21"/>
      <c r="L189" s="21">
        <f>TVM!L189+KLM!L189+PTA!L189+ALP!L189+KTM!L189+IDK!L189+EKM!L189+TSR!L189+PLKD!L189+MLPM!L189+KKD!L189+WYND!L189+KNR!L189+KSRGD!L189+SHS!L189</f>
        <v>0</v>
      </c>
      <c r="M189" s="21"/>
      <c r="N189" s="21">
        <f>TVM!N189+KLM!N189+PTA!N189+ALP!N189+KTM!N189+IDK!N189+EKM!N189+TSR!N189+PLKD!N189+MLPM!N189+KKD!N189+WYND!N189+KNR!N189+KSRGD!N189+SHS!N189</f>
        <v>0</v>
      </c>
      <c r="O189" s="22">
        <f>TVM!O189+KLM!O189+PTA!O189+ALP!O189+KTM!O189+IDK!O189+EKM!O189+TSR!O189+PLKD!O189+MLPM!O189+KKD!O189+WYND!O189+KNR!O189+KSRGD!O189+SHS!O189</f>
        <v>6449.1554699999997</v>
      </c>
      <c r="P189" s="22">
        <f>TVM!P189+KLM!P189+PTA!P189+ALP!P189+KTM!P189+IDK!P189+EKM!P189+TSR!P189+PLKD!P189+MLPM!P189+KKD!P189+WYND!P189+KNR!P189+KSRGD!P189+SHS!P189</f>
        <v>6449.1554699999997</v>
      </c>
      <c r="Q189" s="21"/>
      <c r="R189" s="21">
        <f>TVM!R189+KLM!R189+PTA!R189+ALP!R189+KTM!R189+IDK!R189+EKM!R189+TSR!R189+PLKD!R189+MLPM!R189+KKD!R189+WYND!R189+KNR!R189+KSRGD!R189+SHS!R189</f>
        <v>0</v>
      </c>
      <c r="S189" s="21"/>
      <c r="T189" s="48">
        <f>TVM!T189+KLM!T189+PTA!T189+ALP!T189+KTM!T189+IDK!T189+EKM!T189+TSR!T189+PLKD!T189+MLPM!T189+KKD!T189+WYND!T189+KNR!T189+KSRGD!T189+SHS!T189</f>
        <v>0</v>
      </c>
      <c r="U189" s="21"/>
      <c r="V189" s="21">
        <f>TVM!V189+KLM!V189+PTA!V189+ALP!V189+KTM!V189+IDK!V189+EKM!V189+TSR!V189+PLKD!V189+MLPM!V189+KKD!V189+WYND!V189+KNR!V189+KSRGD!V189+SHS!V189</f>
        <v>0</v>
      </c>
      <c r="W189" s="21"/>
      <c r="X189" s="54">
        <f t="shared" si="8"/>
        <v>6449.1554699999997</v>
      </c>
      <c r="Y189" s="452" t="s">
        <v>1037</v>
      </c>
    </row>
    <row r="190" spans="1:25" ht="141.75">
      <c r="A190" s="498"/>
      <c r="B190" s="498"/>
      <c r="C190" s="498"/>
      <c r="D190" s="43">
        <v>181</v>
      </c>
      <c r="E190" s="43" t="s">
        <v>287</v>
      </c>
      <c r="F190" s="21">
        <f>TVM!F190+KLM!F190+PTA!F190+ALP!F190+KTM!F190+IDK!F190+EKM!F190+TSR!F190+PLKD!F190+MLPM!F190+KKD!F190+WYND!F190+KNR!F190+KSRGD!F190+SHS!F190</f>
        <v>0</v>
      </c>
      <c r="G190" s="21"/>
      <c r="H190" s="21">
        <f>TVM!H190+KLM!H190+PTA!H190+ALP!H190+KTM!H190+IDK!H190+EKM!H190+TSR!H190+PLKD!H190+MLPM!H190+KKD!H190+WYND!H190+KNR!H190+KSRGD!H190+SHS!H190</f>
        <v>0</v>
      </c>
      <c r="I190" s="21">
        <f>TVM!I190+KLM!I190+PTA!I190+ALP!I190+KTM!I190+IDK!I190+EKM!I190+TSR!I190+PLKD!I190+MLPM!I190+KKD!I190+WYND!I190+KNR!I190+KSRGD!I190+SHS!I190</f>
        <v>0</v>
      </c>
      <c r="J190" s="21">
        <f>TVM!J190+KLM!J190+PTA!J190+ALP!J190+KTM!J190+IDK!J190+EKM!J190+TSR!J190+PLKD!J190+MLPM!J190+KKD!J190+WYND!J190+KNR!J190+KSRGD!J190+SHS!J190</f>
        <v>0</v>
      </c>
      <c r="K190" s="21"/>
      <c r="L190" s="21">
        <f>TVM!L190+KLM!L190+PTA!L190+ALP!L190+KTM!L190+IDK!L190+EKM!L190+TSR!L190+PLKD!L190+MLPM!L190+KKD!L190+WYND!L190+KNR!L190+KSRGD!L190+SHS!L190</f>
        <v>47.071420000000003</v>
      </c>
      <c r="M190" s="21"/>
      <c r="N190" s="21">
        <f>TVM!N190+KLM!N190+PTA!N190+ALP!N190+KTM!N190+IDK!N190+EKM!N190+TSR!N190+PLKD!N190+MLPM!N190+KKD!N190+WYND!N190+KNR!N190+KSRGD!N190+SHS!N190</f>
        <v>0</v>
      </c>
      <c r="O190" s="21">
        <f>TVM!O190+KLM!O190+PTA!O190+ALP!O190+KTM!O190+IDK!O190+EKM!O190+TSR!O190+PLKD!O190+MLPM!O190+KKD!O190+WYND!O190+KNR!O190+KSRGD!O190+SHS!O190</f>
        <v>0</v>
      </c>
      <c r="P190" s="21">
        <f>TVM!P190+KLM!P190+PTA!P190+ALP!P190+KTM!P190+IDK!P190+EKM!P190+TSR!P190+PLKD!P190+MLPM!P190+KKD!P190+WYND!P190+KNR!P190+KSRGD!P190+SHS!P190</f>
        <v>0</v>
      </c>
      <c r="Q190" s="21"/>
      <c r="R190" s="21">
        <f>TVM!R190+KLM!R190+PTA!R190+ALP!R190+KTM!R190+IDK!R190+EKM!R190+TSR!R190+PLKD!R190+MLPM!R190+KKD!R190+WYND!R190+KNR!R190+KSRGD!R190+SHS!R190</f>
        <v>315.95999999999998</v>
      </c>
      <c r="S190" s="21"/>
      <c r="T190" s="21">
        <f>TVM!T190+KLM!T190+PTA!T190+ALP!T190+KTM!T190+IDK!T190+EKM!T190+TSR!T190+PLKD!T190+MLPM!T190+KKD!T190+WYND!T190+KNR!T190+KSRGD!T190+SHS!T190</f>
        <v>0</v>
      </c>
      <c r="U190" s="21"/>
      <c r="V190" s="21">
        <f>TVM!V190+KLM!V190+PTA!V190+ALP!V190+KTM!V190+IDK!V190+EKM!V190+TSR!V190+PLKD!V190+MLPM!V190+KKD!V190+WYND!V190+KNR!V190+KSRGD!V190+SHS!V190</f>
        <v>0</v>
      </c>
      <c r="W190" s="21"/>
      <c r="X190" s="22">
        <f t="shared" si="8"/>
        <v>363.03141999999997</v>
      </c>
      <c r="Y190" s="23" t="s">
        <v>439</v>
      </c>
    </row>
    <row r="191" spans="1:25" ht="28.5" customHeight="1">
      <c r="A191" s="498"/>
      <c r="B191" s="498"/>
      <c r="C191" s="498"/>
      <c r="D191" s="43">
        <v>182</v>
      </c>
      <c r="E191" s="43" t="s">
        <v>288</v>
      </c>
      <c r="F191" s="21">
        <f>TVM!F191+KLM!F191+PTA!F191+ALP!F191+KTM!F191+IDK!F191+EKM!F191+TSR!F191+PLKD!F191+MLPM!F191+KKD!F191+WYND!F191+KNR!F191+KSRGD!F191+SHS!F191</f>
        <v>0</v>
      </c>
      <c r="G191" s="21"/>
      <c r="H191" s="21">
        <f>TVM!H191+KLM!H191+PTA!H191+ALP!H191+KTM!H191+IDK!H191+EKM!H191+TSR!H191+PLKD!H191+MLPM!H191+KKD!H191+WYND!H191+KNR!H191+KSRGD!H191+SHS!H191</f>
        <v>0</v>
      </c>
      <c r="I191" s="21">
        <f>TVM!I191+KLM!I191+PTA!I191+ALP!I191+KTM!I191+IDK!I191+EKM!I191+TSR!I191+PLKD!I191+MLPM!I191+KKD!I191+WYND!I191+KNR!I191+KSRGD!I191+SHS!I191</f>
        <v>0</v>
      </c>
      <c r="J191" s="21">
        <f>TVM!J191+KLM!J191+PTA!J191+ALP!J191+KTM!J191+IDK!J191+EKM!J191+TSR!J191+PLKD!J191+MLPM!J191+KKD!J191+WYND!J191+KNR!J191+KSRGD!J191+SHS!J191</f>
        <v>0</v>
      </c>
      <c r="K191" s="21"/>
      <c r="L191" s="21">
        <f>TVM!L191+KLM!L191+PTA!L191+ALP!L191+KTM!L191+IDK!L191+EKM!L191+TSR!L191+PLKD!L191+MLPM!L191+KKD!L191+WYND!L191+KNR!L191+KSRGD!L191+SHS!L191</f>
        <v>0</v>
      </c>
      <c r="M191" s="21"/>
      <c r="N191" s="21">
        <f>TVM!N191+KLM!N191+PTA!N191+ALP!N191+KTM!N191+IDK!N191+EKM!N191+TSR!N191+PLKD!N191+MLPM!N191+KKD!N191+WYND!N191+KNR!N191+KSRGD!N191+SHS!N191</f>
        <v>0</v>
      </c>
      <c r="O191" s="21">
        <f>TVM!O191+KLM!O191+PTA!O191+ALP!O191+KTM!O191+IDK!O191+EKM!O191+TSR!O191+PLKD!O191+MLPM!O191+KKD!O191+WYND!O191+KNR!O191+KSRGD!O191+SHS!O191</f>
        <v>0</v>
      </c>
      <c r="P191" s="21">
        <f>TVM!P191+KLM!P191+PTA!P191+ALP!P191+KTM!P191+IDK!P191+EKM!P191+TSR!P191+PLKD!P191+MLPM!P191+KKD!P191+WYND!P191+KNR!P191+KSRGD!P191+SHS!P191</f>
        <v>0</v>
      </c>
      <c r="Q191" s="21"/>
      <c r="R191" s="21">
        <f>TVM!R191+KLM!R191+PTA!R191+ALP!R191+KTM!R191+IDK!R191+EKM!R191+TSR!R191+PLKD!R191+MLPM!R191+KKD!R191+WYND!R191+KNR!R191+KSRGD!R191+SHS!R191</f>
        <v>0</v>
      </c>
      <c r="S191" s="21"/>
      <c r="T191" s="22">
        <f>TVM!T191+KLM!T191+PTA!T191+ALP!T191+KTM!T191+IDK!T191+EKM!T191+TSR!T191+PLKD!T191+MLPM!T191+KKD!T191+WYND!T191+KNR!T191+KSRGD!T191+SHS!T191</f>
        <v>435.29999999999995</v>
      </c>
      <c r="U191" s="21"/>
      <c r="V191" s="21">
        <f>TVM!V191+KLM!V191+PTA!V191+ALP!V191+KTM!V191+IDK!V191+EKM!V191+TSR!V191+PLKD!V191+MLPM!V191+KKD!V191+WYND!V191+KNR!V191+KSRGD!V191+SHS!V191</f>
        <v>0</v>
      </c>
      <c r="W191" s="410"/>
      <c r="X191" s="54">
        <f t="shared" si="8"/>
        <v>435.29999999999995</v>
      </c>
      <c r="Y191" s="452" t="s">
        <v>667</v>
      </c>
    </row>
    <row r="192" spans="1:25" ht="63">
      <c r="A192" s="498"/>
      <c r="B192" s="496"/>
      <c r="C192" s="496"/>
      <c r="D192" s="43">
        <v>183</v>
      </c>
      <c r="E192" s="43" t="s">
        <v>289</v>
      </c>
      <c r="F192" s="21">
        <f>TVM!F192+KLM!F192+PTA!F192+ALP!F192+KTM!F192+IDK!F192+EKM!F192+TSR!F192+PLKD!F192+MLPM!F192+KKD!F192+WYND!F192+KNR!F192+KSRGD!F192+SHS!F192</f>
        <v>0</v>
      </c>
      <c r="G192" s="21"/>
      <c r="H192" s="21">
        <f>TVM!H192+KLM!H192+PTA!H192+ALP!H192+KTM!H192+IDK!H192+EKM!H192+TSR!H192+PLKD!H192+MLPM!H192+KKD!H192+WYND!H192+KNR!H192+KSRGD!H192+SHS!H192</f>
        <v>0</v>
      </c>
      <c r="I192" s="21">
        <f>TVM!I192+KLM!I192+PTA!I192+ALP!I192+KTM!I192+IDK!I192+EKM!I192+TSR!I192+PLKD!I192+MLPM!I192+KKD!I192+WYND!I192+KNR!I192+KSRGD!I192+SHS!I192</f>
        <v>0</v>
      </c>
      <c r="J192" s="21">
        <f>TVM!J192+KLM!J192+PTA!J192+ALP!J192+KTM!J192+IDK!J192+EKM!J192+TSR!J192+PLKD!J192+MLPM!J192+KKD!J192+WYND!J192+KNR!J192+KSRGD!J192+SHS!J192</f>
        <v>0</v>
      </c>
      <c r="K192" s="21"/>
      <c r="L192" s="21">
        <f>TVM!L192+KLM!L192+PTA!L192+ALP!L192+KTM!L192+IDK!L192+EKM!L192+TSR!L192+PLKD!L192+MLPM!L192+KKD!L192+WYND!L192+KNR!L192+KSRGD!L192+SHS!L192</f>
        <v>0</v>
      </c>
      <c r="M192" s="21"/>
      <c r="N192" s="21">
        <f>TVM!N192+KLM!N192+PTA!N192+ALP!N192+KTM!N192+IDK!N192+EKM!N192+TSR!N192+PLKD!N192+MLPM!N192+KKD!N192+WYND!N192+KNR!N192+KSRGD!N192+SHS!N192</f>
        <v>0</v>
      </c>
      <c r="O192" s="21">
        <f>TVM!O192+KLM!O192+PTA!O192+ALP!O192+KTM!O192+IDK!O192+EKM!O192+TSR!O192+PLKD!O192+MLPM!O192+KKD!O192+WYND!O192+KNR!O192+KSRGD!O192+SHS!O192</f>
        <v>0</v>
      </c>
      <c r="P192" s="21">
        <f>TVM!P192+KLM!P192+PTA!P192+ALP!P192+KTM!P192+IDK!P192+EKM!P192+TSR!P192+PLKD!P192+MLPM!P192+KKD!P192+WYND!P192+KNR!P192+KSRGD!P192+SHS!P192</f>
        <v>0</v>
      </c>
      <c r="Q192" s="21"/>
      <c r="R192" s="21">
        <f>TVM!R192+KLM!R192+PTA!R192+ALP!R192+KTM!R192+IDK!R192+EKM!R192+TSR!R192+PLKD!R192+MLPM!R192+KKD!R192+WYND!R192+KNR!R192+KSRGD!R192+SHS!R192</f>
        <v>0</v>
      </c>
      <c r="S192" s="21"/>
      <c r="T192" s="48">
        <f>TVM!T192+KLM!T192+PTA!T192+ALP!T192+KTM!T192+IDK!T192+EKM!T192+TSR!T192+PLKD!T192+MLPM!T192+KKD!T192+WYND!T192+KNR!T192+KSRGD!T192+SHS!T192</f>
        <v>0</v>
      </c>
      <c r="U192" s="21"/>
      <c r="V192" s="21">
        <f>TVM!V192+KLM!V192+PTA!V192+ALP!V192+KTM!V192+IDK!V192+EKM!V192+TSR!V192+PLKD!V192+MLPM!V192+KKD!V192+WYND!V192+KNR!V192+KSRGD!V192+SHS!V192</f>
        <v>0</v>
      </c>
      <c r="W192" s="21"/>
      <c r="X192" s="22">
        <f t="shared" si="8"/>
        <v>0</v>
      </c>
      <c r="Y192" s="61"/>
    </row>
    <row r="193" spans="1:25" ht="78.75">
      <c r="A193" s="498"/>
      <c r="B193" s="43" t="s">
        <v>290</v>
      </c>
      <c r="C193" s="43" t="s">
        <v>291</v>
      </c>
      <c r="D193" s="43">
        <v>184</v>
      </c>
      <c r="E193" s="43" t="s">
        <v>292</v>
      </c>
      <c r="F193" s="21">
        <f>TVM!F193+KLM!F193+PTA!F193+ALP!F193+KTM!F193+IDK!F193+EKM!F193+TSR!F193+PLKD!F193+MLPM!F193+KKD!F193+WYND!F193+KNR!F193+KSRGD!F193+SHS!F193</f>
        <v>0</v>
      </c>
      <c r="G193" s="21"/>
      <c r="H193" s="21">
        <f>TVM!H193+KLM!H193+PTA!H193+ALP!H193+KTM!H193+IDK!H193+EKM!H193+TSR!H193+PLKD!H193+MLPM!H193+KKD!H193+WYND!H193+KNR!H193+KSRGD!H193+SHS!H193</f>
        <v>0</v>
      </c>
      <c r="I193" s="21">
        <f>TVM!I193+KLM!I193+PTA!I193+ALP!I193+KTM!I193+IDK!I193+EKM!I193+TSR!I193+PLKD!I193+MLPM!I193+KKD!I193+WYND!I193+KNR!I193+KSRGD!I193+SHS!I193</f>
        <v>0</v>
      </c>
      <c r="J193" s="21">
        <f>TVM!J193+KLM!J193+PTA!J193+ALP!J193+KTM!J193+IDK!J193+EKM!J193+TSR!J193+PLKD!J193+MLPM!J193+KKD!J193+WYND!J193+KNR!J193+KSRGD!J193+SHS!J193</f>
        <v>0</v>
      </c>
      <c r="K193" s="21"/>
      <c r="L193" s="21">
        <f>TVM!L193+KLM!L193+PTA!L193+ALP!L193+KTM!L193+IDK!L193+EKM!L193+TSR!L193+PLKD!L193+MLPM!L193+KKD!L193+WYND!L193+KNR!L193+KSRGD!L193+SHS!L193</f>
        <v>0</v>
      </c>
      <c r="M193" s="21"/>
      <c r="N193" s="21">
        <f>TVM!N193+KLM!N193+PTA!N193+ALP!N193+KTM!N193+IDK!N193+EKM!N193+TSR!N193+PLKD!N193+MLPM!N193+KKD!N193+WYND!N193+KNR!N193+KSRGD!N193+SHS!N193</f>
        <v>0</v>
      </c>
      <c r="O193" s="21">
        <f>TVM!O193+KLM!O193+PTA!O193+ALP!O193+KTM!O193+IDK!O193+EKM!O193+TSR!O193+PLKD!O193+MLPM!O193+KKD!O193+WYND!O193+KNR!O193+KSRGD!O193+SHS!O193</f>
        <v>0</v>
      </c>
      <c r="P193" s="21">
        <f>TVM!P193+KLM!P193+PTA!P193+ALP!P193+KTM!P193+IDK!P193+EKM!P193+TSR!P193+PLKD!P193+MLPM!P193+KKD!P193+WYND!P193+KNR!P193+KSRGD!P193+SHS!P193</f>
        <v>0</v>
      </c>
      <c r="Q193" s="21"/>
      <c r="R193" s="21">
        <f>TVM!R193+KLM!R193+PTA!R193+ALP!R193+KTM!R193+IDK!R193+EKM!R193+TSR!R193+PLKD!R193+MLPM!R193+KKD!R193+WYND!R193+KNR!R193+KSRGD!R193+SHS!R193</f>
        <v>0</v>
      </c>
      <c r="S193" s="21"/>
      <c r="T193" s="22">
        <f>TVM!T193+KLM!T193+PTA!T193+ALP!T193+KTM!T193+IDK!T193+EKM!T193+TSR!T193+PLKD!T193+MLPM!T193+KKD!T193+WYND!T193+KNR!T193+KSRGD!T193+SHS!T193</f>
        <v>4569</v>
      </c>
      <c r="U193" s="21"/>
      <c r="V193" s="21">
        <f>TVM!V193+KLM!V193+PTA!V193+ALP!V193+KTM!V193+IDK!V193+EKM!V193+TSR!V193+PLKD!V193+MLPM!V193+KKD!V193+WYND!V193+KNR!V193+KSRGD!V193+SHS!V193</f>
        <v>0</v>
      </c>
      <c r="W193" s="21"/>
      <c r="X193" s="22">
        <f t="shared" si="8"/>
        <v>4569</v>
      </c>
      <c r="Y193" s="25" t="s">
        <v>1039</v>
      </c>
    </row>
    <row r="194" spans="1:25" ht="47.25">
      <c r="A194" s="498"/>
      <c r="B194" s="497" t="s">
        <v>293</v>
      </c>
      <c r="C194" s="497" t="s">
        <v>235</v>
      </c>
      <c r="D194" s="43">
        <v>185</v>
      </c>
      <c r="E194" s="43" t="s">
        <v>236</v>
      </c>
      <c r="F194" s="21">
        <f>TVM!F194+KLM!F194+PTA!F194+ALP!F194+KTM!F194+IDK!F194+EKM!F194+TSR!F194+PLKD!F194+MLPM!F194+KKD!F194+WYND!F194+KNR!F194+KSRGD!F194+SHS!F194</f>
        <v>0</v>
      </c>
      <c r="G194" s="21"/>
      <c r="H194" s="21">
        <f>TVM!H194+KLM!H194+PTA!H194+ALP!H194+KTM!H194+IDK!H194+EKM!H194+TSR!H194+PLKD!H194+MLPM!H194+KKD!H194+WYND!H194+KNR!H194+KSRGD!H194+SHS!H194</f>
        <v>0</v>
      </c>
      <c r="I194" s="21">
        <f>TVM!I194+KLM!I194+PTA!I194+ALP!I194+KTM!I194+IDK!I194+EKM!I194+TSR!I194+PLKD!I194+MLPM!I194+KKD!I194+WYND!I194+KNR!I194+KSRGD!I194+SHS!I194</f>
        <v>0</v>
      </c>
      <c r="J194" s="21">
        <f>TVM!J194+KLM!J194+PTA!J194+ALP!J194+KTM!J194+IDK!J194+EKM!J194+TSR!J194+PLKD!J194+MLPM!J194+KKD!J194+WYND!J194+KNR!J194+KSRGD!J194+SHS!J194</f>
        <v>0</v>
      </c>
      <c r="K194" s="21"/>
      <c r="L194" s="21">
        <f>TVM!L194+KLM!L194+PTA!L194+ALP!L194+KTM!L194+IDK!L194+EKM!L194+TSR!L194+PLKD!L194+MLPM!L194+KKD!L194+WYND!L194+KNR!L194+KSRGD!L194+SHS!L194</f>
        <v>0</v>
      </c>
      <c r="M194" s="21"/>
      <c r="N194" s="21">
        <f>TVM!N194+KLM!N194+PTA!N194+ALP!N194+KTM!N194+IDK!N194+EKM!N194+TSR!N194+PLKD!N194+MLPM!N194+KKD!N194+WYND!N194+KNR!N194+KSRGD!N194+SHS!N194</f>
        <v>0</v>
      </c>
      <c r="O194" s="21">
        <f>TVM!O194+KLM!O194+PTA!O194+ALP!O194+KTM!O194+IDK!O194+EKM!O194+TSR!O194+PLKD!O194+MLPM!O194+KKD!O194+WYND!O194+KNR!O194+KSRGD!O194+SHS!O194</f>
        <v>0</v>
      </c>
      <c r="P194" s="21">
        <f>TVM!P194+KLM!P194+PTA!P194+ALP!P194+KTM!P194+IDK!P194+EKM!P194+TSR!P194+PLKD!P194+MLPM!P194+KKD!P194+WYND!P194+KNR!P194+KSRGD!P194+SHS!P194</f>
        <v>0</v>
      </c>
      <c r="Q194" s="21"/>
      <c r="R194" s="21">
        <f>TVM!R194+KLM!R194+PTA!R194+ALP!R194+KTM!R194+IDK!R194+EKM!R194+TSR!R194+PLKD!R194+MLPM!R194+KKD!R194+WYND!R194+KNR!R194+KSRGD!R194+SHS!R194</f>
        <v>0</v>
      </c>
      <c r="S194" s="21"/>
      <c r="T194" s="48">
        <f>TVM!T194+KLM!T194+PTA!T194+ALP!T194+KTM!T194+IDK!T194+EKM!T194+TSR!T194+PLKD!T194+MLPM!T194+KKD!T194+WYND!T194+KNR!T194+KSRGD!T194+SHS!T194</f>
        <v>38957.180266599993</v>
      </c>
      <c r="U194" s="21"/>
      <c r="V194" s="21">
        <f>TVM!V194+KLM!V194+PTA!V194+ALP!V194+KTM!V194+IDK!V194+EKM!V194+TSR!V194+PLKD!V194+MLPM!V194+KKD!V194+WYND!V194+KNR!V194+KSRGD!V194+SHS!V194</f>
        <v>0</v>
      </c>
      <c r="W194" s="21"/>
      <c r="X194" s="22">
        <f t="shared" si="8"/>
        <v>38957.180266599993</v>
      </c>
      <c r="Y194" s="25" t="s">
        <v>551</v>
      </c>
    </row>
    <row r="195" spans="1:25" ht="204.75">
      <c r="A195" s="498"/>
      <c r="B195" s="498"/>
      <c r="C195" s="498"/>
      <c r="D195" s="43">
        <v>186</v>
      </c>
      <c r="E195" s="43" t="s">
        <v>237</v>
      </c>
      <c r="F195" s="21">
        <f>TVM!F195+KLM!F195+PTA!F195+ALP!F195+KTM!F195+IDK!F195+EKM!F195+TSR!F195+PLKD!F195+MLPM!F195+KKD!F195+WYND!F195+KNR!F195+KSRGD!F195+SHS!F195</f>
        <v>3.5639999999999996</v>
      </c>
      <c r="G195" s="46" t="s">
        <v>552</v>
      </c>
      <c r="H195" s="21">
        <f>TVM!H195+KLM!H195+PTA!H195+ALP!H195+KTM!H195+IDK!H195+EKM!H195+TSR!H195+PLKD!H195+MLPM!H195+KKD!H195+WYND!H195+KNR!H195+KSRGD!H195+SHS!H195</f>
        <v>0</v>
      </c>
      <c r="I195" s="21">
        <f>TVM!I195+KLM!I195+PTA!I195+ALP!I195+KTM!I195+IDK!I195+EKM!I195+TSR!I195+PLKD!I195+MLPM!I195+KKD!I195+WYND!I195+KNR!I195+KSRGD!I195+SHS!I195</f>
        <v>0</v>
      </c>
      <c r="J195" s="21">
        <f>TVM!J195+KLM!J195+PTA!J195+ALP!J195+KTM!J195+IDK!J195+EKM!J195+TSR!J195+PLKD!J195+MLPM!J195+KKD!J195+WYND!J195+KNR!J195+KSRGD!J195+SHS!J195</f>
        <v>0</v>
      </c>
      <c r="K195" s="21"/>
      <c r="L195" s="21">
        <f>TVM!L195+KLM!L195+PTA!L195+ALP!L195+KTM!L195+IDK!L195+EKM!L195+TSR!L195+PLKD!L195+MLPM!L195+KKD!L195+WYND!L195+KNR!L195+KSRGD!L195+SHS!L195</f>
        <v>0</v>
      </c>
      <c r="M195" s="21"/>
      <c r="N195" s="21">
        <f>TVM!N195+KLM!N195+PTA!N195+ALP!N195+KTM!N195+IDK!N195+EKM!N195+TSR!N195+PLKD!N195+MLPM!N195+KKD!N195+WYND!N195+KNR!N195+KSRGD!N195+SHS!N195</f>
        <v>0</v>
      </c>
      <c r="O195" s="21">
        <f>TVM!O195+KLM!O195+PTA!O195+ALP!O195+KTM!O195+IDK!O195+EKM!O195+TSR!O195+PLKD!O195+MLPM!O195+KKD!O195+WYND!O195+KNR!O195+KSRGD!O195+SHS!O195</f>
        <v>0</v>
      </c>
      <c r="P195" s="21">
        <f>TVM!P195+KLM!P195+PTA!P195+ALP!P195+KTM!P195+IDK!P195+EKM!P195+TSR!P195+PLKD!P195+MLPM!P195+KKD!P195+WYND!P195+KNR!P195+KSRGD!P195+SHS!P195</f>
        <v>0</v>
      </c>
      <c r="Q195" s="21"/>
      <c r="R195" s="21">
        <f>TVM!R195+KLM!R195+PTA!R195+ALP!R195+KTM!R195+IDK!R195+EKM!R195+TSR!R195+PLKD!R195+MLPM!R195+KKD!R195+WYND!R195+KNR!R195+KSRGD!R195+SHS!R195</f>
        <v>0</v>
      </c>
      <c r="S195" s="21"/>
      <c r="T195" s="48">
        <f>TVM!T195+KLM!T195+PTA!T195+ALP!T195+KTM!T195+IDK!T195+EKM!T195+TSR!T195+PLKD!T195+MLPM!T195+KKD!T195+WYND!T195+KNR!T195+KSRGD!T195+SHS!T195</f>
        <v>1461.5700000000002</v>
      </c>
      <c r="U195" s="47" t="s">
        <v>1203</v>
      </c>
      <c r="V195" s="21">
        <f>TVM!V195+KLM!V195+PTA!V195+ALP!V195+KTM!V195+IDK!V195+EKM!V195+TSR!V195+PLKD!V195+MLPM!V195+KKD!V195+WYND!V195+KNR!V195+KSRGD!V195+SHS!V195</f>
        <v>0</v>
      </c>
      <c r="W195" s="21"/>
      <c r="X195" s="66">
        <f t="shared" si="8"/>
        <v>1465.1340000000002</v>
      </c>
      <c r="Y195" s="46"/>
    </row>
    <row r="196" spans="1:25" ht="56.25" customHeight="1">
      <c r="A196" s="498"/>
      <c r="B196" s="498"/>
      <c r="C196" s="498"/>
      <c r="D196" s="43">
        <v>187</v>
      </c>
      <c r="E196" s="43" t="s">
        <v>294</v>
      </c>
      <c r="F196" s="21">
        <f>TVM!F196+KLM!F196+PTA!F196+ALP!F196+KTM!F196+IDK!F196+EKM!F196+TSR!F196+PLKD!F196+MLPM!F196+KKD!F196+WYND!F196+KNR!F196+KSRGD!F196+SHS!F196</f>
        <v>0</v>
      </c>
      <c r="G196" s="21"/>
      <c r="H196" s="21">
        <f>TVM!H196+KLM!H196+PTA!H196+ALP!H196+KTM!H196+IDK!H196+EKM!H196+TSR!H196+PLKD!H196+MLPM!H196+KKD!H196+WYND!H196+KNR!H196+KSRGD!H196+SHS!H196</f>
        <v>0</v>
      </c>
      <c r="I196" s="21">
        <f>TVM!I196+KLM!I196+PTA!I196+ALP!I196+KTM!I196+IDK!I196+EKM!I196+TSR!I196+PLKD!I196+MLPM!I196+KKD!I196+WYND!I196+KNR!I196+KSRGD!I196+SHS!I196</f>
        <v>0</v>
      </c>
      <c r="J196" s="21">
        <f>TVM!J196+KLM!J196+PTA!J196+ALP!J196+KTM!J196+IDK!J196+EKM!J196+TSR!J196+PLKD!J196+MLPM!J196+KKD!J196+WYND!J196+KNR!J196+KSRGD!J196+SHS!J196</f>
        <v>0</v>
      </c>
      <c r="K196" s="21"/>
      <c r="L196" s="21">
        <f>TVM!L196+KLM!L196+PTA!L196+ALP!L196+KTM!L196+IDK!L196+EKM!L196+TSR!L196+PLKD!L196+MLPM!L196+KKD!L196+WYND!L196+KNR!L196+KSRGD!L196+SHS!L196</f>
        <v>0</v>
      </c>
      <c r="M196" s="21"/>
      <c r="N196" s="21">
        <f>TVM!N196+KLM!N196+PTA!N196+ALP!N196+KTM!N196+IDK!N196+EKM!N196+TSR!N196+PLKD!N196+MLPM!N196+KKD!N196+WYND!N196+KNR!N196+KSRGD!N196+SHS!N196</f>
        <v>0</v>
      </c>
      <c r="O196" s="21">
        <f>TVM!O196+KLM!O196+PTA!O196+ALP!O196+KTM!O196+IDK!O196+EKM!O196+TSR!O196+PLKD!O196+MLPM!O196+KKD!O196+WYND!O196+KNR!O196+KSRGD!O196+SHS!O196</f>
        <v>0</v>
      </c>
      <c r="P196" s="21">
        <f>TVM!P196+KLM!P196+PTA!P196+ALP!P196+KTM!P196+IDK!P196+EKM!P196+TSR!P196+PLKD!P196+MLPM!P196+KKD!P196+WYND!P196+KNR!P196+KSRGD!P196+SHS!P196</f>
        <v>0</v>
      </c>
      <c r="Q196" s="21"/>
      <c r="R196" s="21">
        <f>TVM!R196+KLM!R196+PTA!R196+ALP!R196+KTM!R196+IDK!R196+EKM!R196+TSR!R196+PLKD!R196+MLPM!R196+KKD!R196+WYND!R196+KNR!R196+KSRGD!R196+SHS!R196</f>
        <v>0</v>
      </c>
      <c r="S196" s="21"/>
      <c r="T196" s="22">
        <f>TVM!T196+KLM!T196+PTA!T196+ALP!T196+KTM!T196+IDK!T196+EKM!T196+TSR!T196+PLKD!T196+MLPM!T196+KKD!T196+WYND!T196+KNR!T196+KSRGD!T196+SHS!T196</f>
        <v>14671.943999999998</v>
      </c>
      <c r="U196" s="21"/>
      <c r="V196" s="21">
        <f>TVM!V196+KLM!V196+PTA!V196+ALP!V196+KTM!V196+IDK!V196+EKM!V196+TSR!V196+PLKD!V196+MLPM!V196+KKD!V196+WYND!V196+KNR!V196+KSRGD!V196+SHS!V196</f>
        <v>0</v>
      </c>
      <c r="W196" s="21"/>
      <c r="X196" s="66">
        <f t="shared" si="8"/>
        <v>14671.943999999998</v>
      </c>
      <c r="Y196" s="25" t="s">
        <v>553</v>
      </c>
    </row>
    <row r="197" spans="1:25" ht="31.5">
      <c r="A197" s="498"/>
      <c r="B197" s="498"/>
      <c r="C197" s="498"/>
      <c r="D197" s="43">
        <v>188</v>
      </c>
      <c r="E197" s="43" t="s">
        <v>238</v>
      </c>
      <c r="F197" s="21">
        <f>TVM!F197+KLM!F197+PTA!F197+ALP!F197+KTM!F197+IDK!F197+EKM!F197+TSR!F197+PLKD!F197+MLPM!F197+KKD!F197+WYND!F197+KNR!F197+KSRGD!F197+SHS!F197</f>
        <v>0</v>
      </c>
      <c r="G197" s="21"/>
      <c r="H197" s="21">
        <f>TVM!H197+KLM!H197+PTA!H197+ALP!H197+KTM!H197+IDK!H197+EKM!H197+TSR!H197+PLKD!H197+MLPM!H197+KKD!H197+WYND!H197+KNR!H197+KSRGD!H197+SHS!H197</f>
        <v>0</v>
      </c>
      <c r="I197" s="21">
        <f>TVM!I197+KLM!I197+PTA!I197+ALP!I197+KTM!I197+IDK!I197+EKM!I197+TSR!I197+PLKD!I197+MLPM!I197+KKD!I197+WYND!I197+KNR!I197+KSRGD!I197+SHS!I197</f>
        <v>0</v>
      </c>
      <c r="J197" s="21">
        <f>TVM!J197+KLM!J197+PTA!J197+ALP!J197+KTM!J197+IDK!J197+EKM!J197+TSR!J197+PLKD!J197+MLPM!J197+KKD!J197+WYND!J197+KNR!J197+KSRGD!J197+SHS!J197</f>
        <v>0</v>
      </c>
      <c r="K197" s="21"/>
      <c r="L197" s="21">
        <f>TVM!L197+KLM!L197+PTA!L197+ALP!L197+KTM!L197+IDK!L197+EKM!L197+TSR!L197+PLKD!L197+MLPM!L197+KKD!L197+WYND!L197+KNR!L197+KSRGD!L197+SHS!L197</f>
        <v>0</v>
      </c>
      <c r="M197" s="21"/>
      <c r="N197" s="21">
        <f>TVM!N197+KLM!N197+PTA!N197+ALP!N197+KTM!N197+IDK!N197+EKM!N197+TSR!N197+PLKD!N197+MLPM!N197+KKD!N197+WYND!N197+KNR!N197+KSRGD!N197+SHS!N197</f>
        <v>0</v>
      </c>
      <c r="O197" s="21">
        <f>TVM!O197+KLM!O197+PTA!O197+ALP!O197+KTM!O197+IDK!O197+EKM!O197+TSR!O197+PLKD!O197+MLPM!O197+KKD!O197+WYND!O197+KNR!O197+KSRGD!O197+SHS!O197</f>
        <v>0</v>
      </c>
      <c r="P197" s="21">
        <f>TVM!P197+KLM!P197+PTA!P197+ALP!P197+KTM!P197+IDK!P197+EKM!P197+TSR!P197+PLKD!P197+MLPM!P197+KKD!P197+WYND!P197+KNR!P197+KSRGD!P197+SHS!P197</f>
        <v>0</v>
      </c>
      <c r="Q197" s="21"/>
      <c r="R197" s="21">
        <f>TVM!R197+KLM!R197+PTA!R197+ALP!R197+KTM!R197+IDK!R197+EKM!R197+TSR!R197+PLKD!R197+MLPM!R197+KKD!R197+WYND!R197+KNR!R197+KSRGD!R197+SHS!R197</f>
        <v>0</v>
      </c>
      <c r="S197" s="21"/>
      <c r="T197" s="21">
        <f>TVM!T197+KLM!T197+PTA!T197+ALP!T197+KTM!T197+IDK!T197+EKM!T197+TSR!T197+PLKD!T197+MLPM!T197+KKD!T197+WYND!T197+KNR!T197+KSRGD!T197+SHS!T197</f>
        <v>0</v>
      </c>
      <c r="U197" s="21"/>
      <c r="V197" s="21">
        <f>TVM!V197+KLM!V197+PTA!V197+ALP!V197+KTM!V197+IDK!V197+EKM!V197+TSR!V197+PLKD!V197+MLPM!V197+KKD!V197+WYND!V197+KNR!V197+KSRGD!V197+SHS!V197</f>
        <v>0</v>
      </c>
      <c r="W197" s="21"/>
      <c r="X197" s="22">
        <f t="shared" si="8"/>
        <v>0</v>
      </c>
      <c r="Y197" s="46"/>
    </row>
    <row r="198" spans="1:25" ht="47.25">
      <c r="A198" s="498"/>
      <c r="B198" s="498"/>
      <c r="C198" s="498"/>
      <c r="D198" s="43">
        <v>189</v>
      </c>
      <c r="E198" s="43" t="s">
        <v>295</v>
      </c>
      <c r="F198" s="21">
        <f>TVM!F198+KLM!F198+PTA!F198+ALP!F198+KTM!F198+IDK!F198+EKM!F198+TSR!F198+PLKD!F198+MLPM!F198+KKD!F198+WYND!F198+KNR!F198+KSRGD!F198+SHS!F198</f>
        <v>0</v>
      </c>
      <c r="G198" s="21"/>
      <c r="H198" s="21">
        <f>TVM!H198+KLM!H198+PTA!H198+ALP!H198+KTM!H198+IDK!H198+EKM!H198+TSR!H198+PLKD!H198+MLPM!H198+KKD!H198+WYND!H198+KNR!H198+KSRGD!H198+SHS!H198</f>
        <v>0</v>
      </c>
      <c r="I198" s="21">
        <f>TVM!I198+KLM!I198+PTA!I198+ALP!I198+KTM!I198+IDK!I198+EKM!I198+TSR!I198+PLKD!I198+MLPM!I198+KKD!I198+WYND!I198+KNR!I198+KSRGD!I198+SHS!I198</f>
        <v>0</v>
      </c>
      <c r="J198" s="21">
        <f>TVM!J198+KLM!J198+PTA!J198+ALP!J198+KTM!J198+IDK!J198+EKM!J198+TSR!J198+PLKD!J198+MLPM!J198+KKD!J198+WYND!J198+KNR!J198+KSRGD!J198+SHS!J198</f>
        <v>0</v>
      </c>
      <c r="K198" s="21"/>
      <c r="L198" s="21">
        <f>TVM!L198+KLM!L198+PTA!L198+ALP!L198+KTM!L198+IDK!L198+EKM!L198+TSR!L198+PLKD!L198+MLPM!L198+KKD!L198+WYND!L198+KNR!L198+KSRGD!L198+SHS!L198</f>
        <v>0</v>
      </c>
      <c r="M198" s="21"/>
      <c r="N198" s="21">
        <f>TVM!N198+KLM!N198+PTA!N198+ALP!N198+KTM!N198+IDK!N198+EKM!N198+TSR!N198+PLKD!N198+MLPM!N198+KKD!N198+WYND!N198+KNR!N198+KSRGD!N198+SHS!N198</f>
        <v>0</v>
      </c>
      <c r="O198" s="21">
        <f>TVM!O198+KLM!O198+PTA!O198+ALP!O198+KTM!O198+IDK!O198+EKM!O198+TSR!O198+PLKD!O198+MLPM!O198+KKD!O198+WYND!O198+KNR!O198+KSRGD!O198+SHS!O198</f>
        <v>0</v>
      </c>
      <c r="P198" s="21">
        <f>TVM!P198+KLM!P198+PTA!P198+ALP!P198+KTM!P198+IDK!P198+EKM!P198+TSR!P198+PLKD!P198+MLPM!P198+KKD!P198+WYND!P198+KNR!P198+KSRGD!P198+SHS!P198</f>
        <v>0</v>
      </c>
      <c r="Q198" s="21"/>
      <c r="R198" s="21">
        <f>TVM!R198+KLM!R198+PTA!R198+ALP!R198+KTM!R198+IDK!R198+EKM!R198+TSR!R198+PLKD!R198+MLPM!R198+KKD!R198+WYND!R198+KNR!R198+KSRGD!R198+SHS!R198</f>
        <v>0</v>
      </c>
      <c r="S198" s="21"/>
      <c r="T198" s="21">
        <f>TVM!T198+KLM!T198+PTA!T198+ALP!T198+KTM!T198+IDK!T198+EKM!T198+TSR!T198+PLKD!T198+MLPM!T198+KKD!T198+WYND!T198+KNR!T198+KSRGD!T198+SHS!T198</f>
        <v>0</v>
      </c>
      <c r="U198" s="21"/>
      <c r="V198" s="21">
        <f>TVM!V198+KLM!V198+PTA!V198+ALP!V198+KTM!V198+IDK!V198+EKM!V198+TSR!V198+PLKD!V198+MLPM!V198+KKD!V198+WYND!V198+KNR!V198+KSRGD!V198+SHS!V198</f>
        <v>0</v>
      </c>
      <c r="W198" s="21"/>
      <c r="X198" s="22">
        <f t="shared" si="8"/>
        <v>0</v>
      </c>
      <c r="Y198" s="46"/>
    </row>
    <row r="199" spans="1:25" ht="47.25">
      <c r="A199" s="498"/>
      <c r="B199" s="496"/>
      <c r="C199" s="496"/>
      <c r="D199" s="43">
        <v>190</v>
      </c>
      <c r="E199" s="43" t="s">
        <v>296</v>
      </c>
      <c r="F199" s="21">
        <f>TVM!F199+KLM!F199+PTA!F199+ALP!F199+KTM!F199+IDK!F199+EKM!F199+TSR!F199+PLKD!F199+MLPM!F199+KKD!F199+WYND!F199+KNR!F199+KSRGD!F199+SHS!F199</f>
        <v>0</v>
      </c>
      <c r="G199" s="21"/>
      <c r="H199" s="21">
        <f>TVM!H199+KLM!H199+PTA!H199+ALP!H199+KTM!H199+IDK!H199+EKM!H199+TSR!H199+PLKD!H199+MLPM!H199+KKD!H199+WYND!H199+KNR!H199+KSRGD!H199+SHS!H199</f>
        <v>0</v>
      </c>
      <c r="I199" s="21">
        <f>TVM!I199+KLM!I199+PTA!I199+ALP!I199+KTM!I199+IDK!I199+EKM!I199+TSR!I199+PLKD!I199+MLPM!I199+KKD!I199+WYND!I199+KNR!I199+KSRGD!I199+SHS!I199</f>
        <v>0</v>
      </c>
      <c r="J199" s="21">
        <f>TVM!J199+KLM!J199+PTA!J199+ALP!J199+KTM!J199+IDK!J199+EKM!J199+TSR!J199+PLKD!J199+MLPM!J199+KKD!J199+WYND!J199+KNR!J199+KSRGD!J199+SHS!J199</f>
        <v>0</v>
      </c>
      <c r="K199" s="21"/>
      <c r="L199" s="21">
        <f>TVM!L199+KLM!L199+PTA!L199+ALP!L199+KTM!L199+IDK!L199+EKM!L199+TSR!L199+PLKD!L199+MLPM!L199+KKD!L199+WYND!L199+KNR!L199+KSRGD!L199+SHS!L199</f>
        <v>0</v>
      </c>
      <c r="M199" s="21"/>
      <c r="N199" s="21">
        <f>TVM!N199+KLM!N199+PTA!N199+ALP!N199+KTM!N199+IDK!N199+EKM!N199+TSR!N199+PLKD!N199+MLPM!N199+KKD!N199+WYND!N199+KNR!N199+KSRGD!N199+SHS!N199</f>
        <v>0</v>
      </c>
      <c r="O199" s="21">
        <f>TVM!O199+KLM!O199+PTA!O199+ALP!O199+KTM!O199+IDK!O199+EKM!O199+TSR!O199+PLKD!O199+MLPM!O199+KKD!O199+WYND!O199+KNR!O199+KSRGD!O199+SHS!O199</f>
        <v>0</v>
      </c>
      <c r="P199" s="21">
        <f>TVM!P199+KLM!P199+PTA!P199+ALP!P199+KTM!P199+IDK!P199+EKM!P199+TSR!P199+PLKD!P199+MLPM!P199+KKD!P199+WYND!P199+KNR!P199+KSRGD!P199+SHS!P199</f>
        <v>0</v>
      </c>
      <c r="Q199" s="21"/>
      <c r="R199" s="21">
        <f>TVM!R199+KLM!R199+PTA!R199+ALP!R199+KTM!R199+IDK!R199+EKM!R199+TSR!R199+PLKD!R199+MLPM!R199+KKD!R199+WYND!R199+KNR!R199+KSRGD!R199+SHS!R199</f>
        <v>0</v>
      </c>
      <c r="S199" s="21"/>
      <c r="T199" s="48">
        <f>TVM!T199+KLM!T199+PTA!T199+ALP!T199+KTM!T199+IDK!T199+EKM!T199+TSR!T199+PLKD!T199+MLPM!T199+KKD!T199+WYND!T199+KNR!T199+KSRGD!T199+SHS!T199</f>
        <v>0</v>
      </c>
      <c r="U199" s="21"/>
      <c r="V199" s="21">
        <f>TVM!V199+KLM!V199+PTA!V199+ALP!V199+KTM!V199+IDK!V199+EKM!V199+TSR!V199+PLKD!V199+MLPM!V199+KKD!V199+WYND!V199+KNR!V199+KSRGD!V199+SHS!V199</f>
        <v>0</v>
      </c>
      <c r="W199" s="21"/>
      <c r="X199" s="22">
        <f t="shared" si="8"/>
        <v>0</v>
      </c>
      <c r="Y199" s="46"/>
    </row>
    <row r="200" spans="1:25" ht="110.25">
      <c r="A200" s="498"/>
      <c r="B200" s="497" t="s">
        <v>297</v>
      </c>
      <c r="C200" s="497" t="s">
        <v>298</v>
      </c>
      <c r="D200" s="43">
        <v>191</v>
      </c>
      <c r="E200" s="43" t="s">
        <v>299</v>
      </c>
      <c r="F200" s="21">
        <f>TVM!F200+KLM!F200+PTA!F200+ALP!F200+KTM!F200+IDK!F200+EKM!F200+TSR!F200+PLKD!F200+MLPM!F200+KKD!F200+WYND!F200+KNR!F200+KSRGD!F200+SHS!F200</f>
        <v>0</v>
      </c>
      <c r="G200" s="21"/>
      <c r="H200" s="21">
        <f>TVM!H200+KLM!H200+PTA!H200+ALP!H200+KTM!H200+IDK!H200+EKM!H200+TSR!H200+PLKD!H200+MLPM!H200+KKD!H200+WYND!H200+KNR!H200+KSRGD!H200+SHS!H200</f>
        <v>0</v>
      </c>
      <c r="I200" s="21">
        <f>TVM!I200+KLM!I200+PTA!I200+ALP!I200+KTM!I200+IDK!I200+EKM!I200+TSR!I200+PLKD!I200+MLPM!I200+KKD!I200+WYND!I200+KNR!I200+KSRGD!I200+SHS!I200</f>
        <v>0</v>
      </c>
      <c r="J200" s="21">
        <f>TVM!J200+KLM!J200+PTA!J200+ALP!J200+KTM!J200+IDK!J200+EKM!J200+TSR!J200+PLKD!J200+MLPM!J200+KKD!J200+WYND!J200+KNR!J200+KSRGD!J200+SHS!J200</f>
        <v>0</v>
      </c>
      <c r="K200" s="21"/>
      <c r="L200" s="21">
        <f>TVM!L200+KLM!L200+PTA!L200+ALP!L200+KTM!L200+IDK!L200+EKM!L200+TSR!L200+PLKD!L200+MLPM!L200+KKD!L200+WYND!L200+KNR!L200+KSRGD!L200+SHS!L200</f>
        <v>0</v>
      </c>
      <c r="M200" s="21"/>
      <c r="N200" s="21">
        <f>TVM!N200+KLM!N200+PTA!N200+ALP!N200+KTM!N200+IDK!N200+EKM!N200+TSR!N200+PLKD!N200+MLPM!N200+KKD!N200+WYND!N200+KNR!N200+KSRGD!N200+SHS!N200</f>
        <v>0</v>
      </c>
      <c r="O200" s="21">
        <f>TVM!O200+KLM!O200+PTA!O200+ALP!O200+KTM!O200+IDK!O200+EKM!O200+TSR!O200+PLKD!O200+MLPM!O200+KKD!O200+WYND!O200+KNR!O200+KSRGD!O200+SHS!O200</f>
        <v>0</v>
      </c>
      <c r="P200" s="21">
        <f>TVM!P200+KLM!P200+PTA!P200+ALP!P200+KTM!P200+IDK!P200+EKM!P200+TSR!P200+PLKD!P200+MLPM!P200+KKD!P200+WYND!P200+KNR!P200+KSRGD!P200+SHS!P200</f>
        <v>0</v>
      </c>
      <c r="Q200" s="21"/>
      <c r="R200" s="21">
        <f>TVM!R200+KLM!R200+PTA!R200+ALP!R200+KTM!R200+IDK!R200+EKM!R200+TSR!R200+PLKD!R200+MLPM!R200+KKD!R200+WYND!R200+KNR!R200+KSRGD!R200+SHS!R200</f>
        <v>0</v>
      </c>
      <c r="S200" s="21"/>
      <c r="T200" s="21">
        <f>TVM!T200+KLM!T200+PTA!T200+ALP!T200+KTM!T200+IDK!T200+EKM!T200+TSR!T200+PLKD!T200+MLPM!T200+KKD!T200+WYND!T200+KNR!T200+KSRGD!T200+SHS!T200</f>
        <v>42.550000000000004</v>
      </c>
      <c r="U200" s="46"/>
      <c r="V200" s="21">
        <f>TVM!V200+KLM!V200+PTA!V200+ALP!V200+KTM!V200+IDK!V200+EKM!V200+TSR!V200+PLKD!V200+MLPM!V200+KKD!V200+WYND!V200+KNR!V200+KSRGD!V200+SHS!V200</f>
        <v>0</v>
      </c>
      <c r="W200" s="21"/>
      <c r="X200" s="54">
        <f t="shared" si="8"/>
        <v>42.550000000000004</v>
      </c>
      <c r="Y200" s="55" t="s">
        <v>554</v>
      </c>
    </row>
    <row r="201" spans="1:25" ht="31.5">
      <c r="A201" s="498"/>
      <c r="B201" s="496"/>
      <c r="C201" s="496"/>
      <c r="D201" s="43">
        <v>192</v>
      </c>
      <c r="E201" s="43" t="s">
        <v>300</v>
      </c>
      <c r="F201" s="21">
        <f>TVM!F201+KLM!F201+PTA!F201+ALP!F201+KTM!F201+IDK!F201+EKM!F201+TSR!F201+PLKD!F201+MLPM!F201+KKD!F201+WYND!F201+KNR!F201+KSRGD!F201+SHS!F201</f>
        <v>0</v>
      </c>
      <c r="G201" s="21"/>
      <c r="H201" s="21">
        <f>TVM!H201+KLM!H201+PTA!H201+ALP!H201+KTM!H201+IDK!H201+EKM!H201+TSR!H201+PLKD!H201+MLPM!H201+KKD!H201+WYND!H201+KNR!H201+KSRGD!H201+SHS!H201</f>
        <v>270</v>
      </c>
      <c r="I201" s="82">
        <f>TVM!I201+KLM!I201+PTA!I201+ALP!I201+KTM!I201+IDK!I201+EKM!I201+TSR!I201+PLKD!I201+MLPM!I201+KKD!I201+WYND!I201+KNR!I201+KSRGD!I201+SHS!I201</f>
        <v>0</v>
      </c>
      <c r="J201" s="48">
        <f>TVM!J201+KLM!J201+PTA!J201+ALP!J201+KTM!J201+IDK!J201+EKM!J201+TSR!J201+PLKD!J201+MLPM!J201+KKD!J201+WYND!J201+KNR!J201+KSRGD!J201+SHS!J201</f>
        <v>270</v>
      </c>
      <c r="K201" s="23"/>
      <c r="L201" s="21">
        <f>TVM!L201+KLM!L201+PTA!L201+ALP!L201+KTM!L201+IDK!L201+EKM!L201+TSR!L201+PLKD!L201+MLPM!L201+KKD!L201+WYND!L201+KNR!L201+KSRGD!L201+SHS!L201</f>
        <v>0</v>
      </c>
      <c r="M201" s="21"/>
      <c r="N201" s="21">
        <f>TVM!N201+KLM!N201+PTA!N201+ALP!N201+KTM!N201+IDK!N201+EKM!N201+TSR!N201+PLKD!N201+MLPM!N201+KKD!N201+WYND!N201+KNR!N201+KSRGD!N201+SHS!N201</f>
        <v>0</v>
      </c>
      <c r="O201" s="21">
        <f>TVM!O201+KLM!O201+PTA!O201+ALP!O201+KTM!O201+IDK!O201+EKM!O201+TSR!O201+PLKD!O201+MLPM!O201+KKD!O201+WYND!O201+KNR!O201+KSRGD!O201+SHS!O201</f>
        <v>0</v>
      </c>
      <c r="P201" s="21">
        <f>TVM!P201+KLM!P201+PTA!P201+ALP!P201+KTM!P201+IDK!P201+EKM!P201+TSR!P201+PLKD!P201+MLPM!P201+KKD!P201+WYND!P201+KNR!P201+KSRGD!P201+SHS!P201</f>
        <v>0</v>
      </c>
      <c r="Q201" s="21"/>
      <c r="R201" s="21">
        <f>TVM!R201+KLM!R201+PTA!R201+ALP!R201+KTM!R201+IDK!R201+EKM!R201+TSR!R201+PLKD!R201+MLPM!R201+KKD!R201+WYND!R201+KNR!R201+KSRGD!R201+SHS!R201</f>
        <v>0</v>
      </c>
      <c r="S201" s="21"/>
      <c r="T201" s="22">
        <f>TVM!T201+KLM!T201+PTA!T201+ALP!T201+KTM!T201+IDK!T201+EKM!T201+TSR!T201+PLKD!T201+MLPM!T201+KKD!T201+WYND!T201+KNR!T201+KSRGD!T201+SHS!T201</f>
        <v>11.09</v>
      </c>
      <c r="U201" s="21"/>
      <c r="V201" s="21">
        <f>TVM!V201+KLM!V201+PTA!V201+ALP!V201+KTM!V201+IDK!V201+EKM!V201+TSR!V201+PLKD!V201+MLPM!V201+KKD!V201+WYND!V201+KNR!V201+KSRGD!V201+SHS!V201</f>
        <v>0</v>
      </c>
      <c r="W201" s="21"/>
      <c r="X201" s="54">
        <f t="shared" si="8"/>
        <v>281.08999999999997</v>
      </c>
      <c r="Y201" s="452"/>
    </row>
    <row r="202" spans="1:25" ht="47.25">
      <c r="A202" s="498"/>
      <c r="B202" s="497" t="s">
        <v>301</v>
      </c>
      <c r="C202" s="497" t="s">
        <v>241</v>
      </c>
      <c r="D202" s="43">
        <v>193</v>
      </c>
      <c r="E202" s="43" t="s">
        <v>302</v>
      </c>
      <c r="F202" s="21">
        <f>TVM!F202+KLM!F202+PTA!F202+ALP!F202+KTM!F202+IDK!F202+EKM!F202+TSR!F202+PLKD!F202+MLPM!F202+KKD!F202+WYND!F202+KNR!F202+KSRGD!F202+SHS!F202</f>
        <v>0</v>
      </c>
      <c r="G202" s="21"/>
      <c r="H202" s="21">
        <f>TVM!H202+KLM!H202+PTA!H202+ALP!H202+KTM!H202+IDK!H202+EKM!H202+TSR!H202+PLKD!H202+MLPM!H202+KKD!H202+WYND!H202+KNR!H202+KSRGD!H202+SHS!H202</f>
        <v>0</v>
      </c>
      <c r="I202" s="21">
        <f>TVM!I202+KLM!I202+PTA!I202+ALP!I202+KTM!I202+IDK!I202+EKM!I202+TSR!I202+PLKD!I202+MLPM!I202+KKD!I202+WYND!I202+KNR!I202+KSRGD!I202+SHS!I202</f>
        <v>0</v>
      </c>
      <c r="J202" s="21">
        <f>TVM!J202+KLM!J202+PTA!J202+ALP!J202+KTM!J202+IDK!J202+EKM!J202+TSR!J202+PLKD!J202+MLPM!J202+KKD!J202+WYND!J202+KNR!J202+KSRGD!J202+SHS!J202</f>
        <v>0</v>
      </c>
      <c r="K202" s="21"/>
      <c r="L202" s="21">
        <f>TVM!L202+KLM!L202+PTA!L202+ALP!L202+KTM!L202+IDK!L202+EKM!L202+TSR!L202+PLKD!L202+MLPM!L202+KKD!L202+WYND!L202+KNR!L202+KSRGD!L202+SHS!L202</f>
        <v>0</v>
      </c>
      <c r="M202" s="21"/>
      <c r="N202" s="21">
        <f>TVM!N202+KLM!N202+PTA!N202+ALP!N202+KTM!N202+IDK!N202+EKM!N202+TSR!N202+PLKD!N202+MLPM!N202+KKD!N202+WYND!N202+KNR!N202+KSRGD!N202+SHS!N202</f>
        <v>0</v>
      </c>
      <c r="O202" s="21">
        <f>TVM!O202+KLM!O202+PTA!O202+ALP!O202+KTM!O202+IDK!O202+EKM!O202+TSR!O202+PLKD!O202+MLPM!O202+KKD!O202+WYND!O202+KNR!O202+KSRGD!O202+SHS!O202</f>
        <v>0</v>
      </c>
      <c r="P202" s="21">
        <f>TVM!P202+KLM!P202+PTA!P202+ALP!P202+KTM!P202+IDK!P202+EKM!P202+TSR!P202+PLKD!P202+MLPM!P202+KKD!P202+WYND!P202+KNR!P202+KSRGD!P202+SHS!P202</f>
        <v>0</v>
      </c>
      <c r="Q202" s="21"/>
      <c r="R202" s="21">
        <f>TVM!R202+KLM!R202+PTA!R202+ALP!R202+KTM!R202+IDK!R202+EKM!R202+TSR!R202+PLKD!R202+MLPM!R202+KKD!R202+WYND!R202+KNR!R202+KSRGD!R202+SHS!R202</f>
        <v>0</v>
      </c>
      <c r="S202" s="21"/>
      <c r="T202" s="22">
        <f>TVM!T202+KLM!T202+PTA!T202+ALP!T202+KTM!T202+IDK!T202+EKM!T202+TSR!T202+PLKD!T202+MLPM!T202+KKD!T202+WYND!T202+KNR!T202+KSRGD!T202+SHS!T202</f>
        <v>250</v>
      </c>
      <c r="U202" s="83" t="s">
        <v>442</v>
      </c>
      <c r="V202" s="48">
        <f>TVM!V202+KLM!V202+PTA!V202+ALP!V202+KTM!V202+IDK!V202+EKM!V202+TSR!V202+PLKD!V202+MLPM!V202+KKD!V202+WYND!V202+KNR!V202+KSRGD!V202+SHS!V202</f>
        <v>0</v>
      </c>
      <c r="W202" s="21"/>
      <c r="X202" s="22">
        <f t="shared" si="8"/>
        <v>250</v>
      </c>
      <c r="Y202" s="46"/>
    </row>
    <row r="203" spans="1:25" ht="40.5" customHeight="1">
      <c r="A203" s="498"/>
      <c r="B203" s="496"/>
      <c r="C203" s="496"/>
      <c r="D203" s="43">
        <v>194</v>
      </c>
      <c r="E203" s="43" t="s">
        <v>242</v>
      </c>
      <c r="F203" s="21">
        <f>TVM!F203+KLM!F203+PTA!F203+ALP!F203+KTM!F203+IDK!F203+EKM!F203+TSR!F203+PLKD!F203+MLPM!F203+KKD!F203+WYND!F203+KNR!F203+KSRGD!F203+SHS!F203</f>
        <v>0</v>
      </c>
      <c r="G203" s="21"/>
      <c r="H203" s="21">
        <f>TVM!H203+KLM!H203+PTA!H203+ALP!H203+KTM!H203+IDK!H203+EKM!H203+TSR!H203+PLKD!H203+MLPM!H203+KKD!H203+WYND!H203+KNR!H203+KSRGD!H203+SHS!H203</f>
        <v>0</v>
      </c>
      <c r="I203" s="21">
        <f>TVM!I203+KLM!I203+PTA!I203+ALP!I203+KTM!I203+IDK!I203+EKM!I203+TSR!I203+PLKD!I203+MLPM!I203+KKD!I203+WYND!I203+KNR!I203+KSRGD!I203+SHS!I203</f>
        <v>0</v>
      </c>
      <c r="J203" s="21">
        <f>TVM!J203+KLM!J203+PTA!J203+ALP!J203+KTM!J203+IDK!J203+EKM!J203+TSR!J203+PLKD!J203+MLPM!J203+KKD!J203+WYND!J203+KNR!J203+KSRGD!J203+SHS!J203</f>
        <v>0</v>
      </c>
      <c r="K203" s="21"/>
      <c r="L203" s="21">
        <f>TVM!L203+KLM!L203+PTA!L203+ALP!L203+KTM!L203+IDK!L203+EKM!L203+TSR!L203+PLKD!L203+MLPM!L203+KKD!L203+WYND!L203+KNR!L203+KSRGD!L203+SHS!L203</f>
        <v>0</v>
      </c>
      <c r="M203" s="21"/>
      <c r="N203" s="21">
        <f>TVM!N203+KLM!N203+PTA!N203+ALP!N203+KTM!N203+IDK!N203+EKM!N203+TSR!N203+PLKD!N203+MLPM!N203+KKD!N203+WYND!N203+KNR!N203+KSRGD!N203+SHS!N203</f>
        <v>0</v>
      </c>
      <c r="O203" s="21">
        <f>TVM!O203+KLM!O203+PTA!O203+ALP!O203+KTM!O203+IDK!O203+EKM!O203+TSR!O203+PLKD!O203+MLPM!O203+KKD!O203+WYND!O203+KNR!O203+KSRGD!O203+SHS!O203</f>
        <v>0</v>
      </c>
      <c r="P203" s="21">
        <f>TVM!P203+KLM!P203+PTA!P203+ALP!P203+KTM!P203+IDK!P203+EKM!P203+TSR!P203+PLKD!P203+MLPM!P203+KKD!P203+WYND!P203+KNR!P203+KSRGD!P203+SHS!P203</f>
        <v>0</v>
      </c>
      <c r="Q203" s="21"/>
      <c r="R203" s="21">
        <f>TVM!R203+KLM!R203+PTA!R203+ALP!R203+KTM!R203+IDK!R203+EKM!R203+TSR!R203+PLKD!R203+MLPM!R203+KKD!R203+WYND!R203+KNR!R203+KSRGD!R203+SHS!R203</f>
        <v>0</v>
      </c>
      <c r="S203" s="21"/>
      <c r="T203" s="22">
        <f>TVM!T203+KLM!T203+PTA!T203+ALP!T203+KTM!T203+IDK!T203+EKM!T203+TSR!T203+PLKD!T203+MLPM!T203+KKD!T203+WYND!T203+KNR!T203+KSRGD!T203+SHS!T203</f>
        <v>1624.0500000000002</v>
      </c>
      <c r="U203" s="21"/>
      <c r="V203" s="21">
        <f>TVM!V203+KLM!V203+PTA!V203+ALP!V203+KTM!V203+IDK!V203+EKM!V203+TSR!V203+PLKD!V203+MLPM!V203+KKD!V203+WYND!V203+KNR!V203+KSRGD!V203+SHS!V203</f>
        <v>0</v>
      </c>
      <c r="W203" s="21"/>
      <c r="X203" s="22">
        <f t="shared" si="8"/>
        <v>1624.0500000000002</v>
      </c>
      <c r="Y203" s="46"/>
    </row>
    <row r="204" spans="1:25" ht="47.25">
      <c r="A204" s="498"/>
      <c r="B204" s="497" t="s">
        <v>303</v>
      </c>
      <c r="C204" s="497" t="s">
        <v>304</v>
      </c>
      <c r="D204" s="43">
        <v>195</v>
      </c>
      <c r="E204" s="43" t="s">
        <v>305</v>
      </c>
      <c r="F204" s="21">
        <f>TVM!F204+KLM!F204+PTA!F204+ALP!F204+KTM!F204+IDK!F204+EKM!F204+TSR!F204+PLKD!F204+MLPM!F204+KKD!F204+WYND!F204+KNR!F204+KSRGD!F204+SHS!F204</f>
        <v>0</v>
      </c>
      <c r="G204" s="21"/>
      <c r="H204" s="21">
        <f>TVM!H204+KLM!H204+PTA!H204+ALP!H204+KTM!H204+IDK!H204+EKM!H204+TSR!H204+PLKD!H204+MLPM!H204+KKD!H204+WYND!H204+KNR!H204+KSRGD!H204+SHS!H204</f>
        <v>0</v>
      </c>
      <c r="I204" s="21">
        <f>TVM!I204+KLM!I204+PTA!I204+ALP!I204+KTM!I204+IDK!I204+EKM!I204+TSR!I204+PLKD!I204+MLPM!I204+KKD!I204+WYND!I204+KNR!I204+KSRGD!I204+SHS!I204</f>
        <v>0</v>
      </c>
      <c r="J204" s="21">
        <f>TVM!J204+KLM!J204+PTA!J204+ALP!J204+KTM!J204+IDK!J204+EKM!J204+TSR!J204+PLKD!J204+MLPM!J204+KKD!J204+WYND!J204+KNR!J204+KSRGD!J204+SHS!J204</f>
        <v>0</v>
      </c>
      <c r="K204" s="21"/>
      <c r="L204" s="21">
        <f>TVM!L204+KLM!L204+PTA!L204+ALP!L204+KTM!L204+IDK!L204+EKM!L204+TSR!L204+PLKD!L204+MLPM!L204+KKD!L204+WYND!L204+KNR!L204+KSRGD!L204+SHS!L204</f>
        <v>0</v>
      </c>
      <c r="M204" s="21"/>
      <c r="N204" s="21">
        <f>TVM!N204+KLM!N204+PTA!N204+ALP!N204+KTM!N204+IDK!N204+EKM!N204+TSR!N204+PLKD!N204+MLPM!N204+KKD!N204+WYND!N204+KNR!N204+KSRGD!N204+SHS!N204</f>
        <v>0</v>
      </c>
      <c r="O204" s="21">
        <f>TVM!O204+KLM!O204+PTA!O204+ALP!O204+KTM!O204+IDK!O204+EKM!O204+TSR!O204+PLKD!O204+MLPM!O204+KKD!O204+WYND!O204+KNR!O204+KSRGD!O204+SHS!O204</f>
        <v>0</v>
      </c>
      <c r="P204" s="21">
        <f>TVM!P204+KLM!P204+PTA!P204+ALP!P204+KTM!P204+IDK!P204+EKM!P204+TSR!P204+PLKD!P204+MLPM!P204+KKD!P204+WYND!P204+KNR!P204+KSRGD!P204+SHS!P204</f>
        <v>0</v>
      </c>
      <c r="Q204" s="21"/>
      <c r="R204" s="21">
        <f>TVM!R204+KLM!R204+PTA!R204+ALP!R204+KTM!R204+IDK!R204+EKM!R204+TSR!R204+PLKD!R204+MLPM!R204+KKD!R204+WYND!R204+KNR!R204+KSRGD!R204+SHS!R204</f>
        <v>0</v>
      </c>
      <c r="S204" s="21"/>
      <c r="T204" s="22">
        <f>TVM!T204+KLM!T204+PTA!T204+ALP!T204+KTM!T204+IDK!T204+EKM!T204+TSR!T204+PLKD!T204+MLPM!T204+KKD!T204+WYND!T204+KNR!T204+KSRGD!T204+SHS!T204</f>
        <v>0</v>
      </c>
      <c r="U204" s="21"/>
      <c r="V204" s="21">
        <f>TVM!V204+KLM!V204+PTA!V204+ALP!V204+KTM!V204+IDK!V204+EKM!V204+TSR!V204+PLKD!V204+MLPM!V204+KKD!V204+WYND!V204+KNR!V204+KSRGD!V204+SHS!V204</f>
        <v>0</v>
      </c>
      <c r="W204" s="21"/>
      <c r="X204" s="22">
        <f t="shared" si="8"/>
        <v>0</v>
      </c>
      <c r="Y204" s="46"/>
    </row>
    <row r="205" spans="1:25" ht="31.5">
      <c r="A205" s="498"/>
      <c r="B205" s="498"/>
      <c r="C205" s="498"/>
      <c r="D205" s="43">
        <v>196</v>
      </c>
      <c r="E205" s="43" t="s">
        <v>306</v>
      </c>
      <c r="F205" s="21">
        <f>TVM!F205+KLM!F205+PTA!F205+ALP!F205+KTM!F205+IDK!F205+EKM!F205+TSR!F205+PLKD!F205+MLPM!F205+KKD!F205+WYND!F205+KNR!F205+KSRGD!F205+SHS!F205</f>
        <v>0</v>
      </c>
      <c r="G205" s="21"/>
      <c r="H205" s="21">
        <f>TVM!H205+KLM!H205+PTA!H205+ALP!H205+KTM!H205+IDK!H205+EKM!H205+TSR!H205+PLKD!H205+MLPM!H205+KKD!H205+WYND!H205+KNR!H205+KSRGD!H205+SHS!H205</f>
        <v>0</v>
      </c>
      <c r="I205" s="21">
        <f>TVM!I205+KLM!I205+PTA!I205+ALP!I205+KTM!I205+IDK!I205+EKM!I205+TSR!I205+PLKD!I205+MLPM!I205+KKD!I205+WYND!I205+KNR!I205+KSRGD!I205+SHS!I205</f>
        <v>0</v>
      </c>
      <c r="J205" s="21">
        <f>TVM!J205+KLM!J205+PTA!J205+ALP!J205+KTM!J205+IDK!J205+EKM!J205+TSR!J205+PLKD!J205+MLPM!J205+KKD!J205+WYND!J205+KNR!J205+KSRGD!J205+SHS!J205</f>
        <v>0</v>
      </c>
      <c r="K205" s="21"/>
      <c r="L205" s="21">
        <f>TVM!L205+KLM!L205+PTA!L205+ALP!L205+KTM!L205+IDK!L205+EKM!L205+TSR!L205+PLKD!L205+MLPM!L205+KKD!L205+WYND!L205+KNR!L205+KSRGD!L205+SHS!L205</f>
        <v>0</v>
      </c>
      <c r="M205" s="21"/>
      <c r="N205" s="21">
        <f>TVM!N205+KLM!N205+PTA!N205+ALP!N205+KTM!N205+IDK!N205+EKM!N205+TSR!N205+PLKD!N205+MLPM!N205+KKD!N205+WYND!N205+KNR!N205+KSRGD!N205+SHS!N205</f>
        <v>0</v>
      </c>
      <c r="O205" s="21">
        <f>TVM!O205+KLM!O205+PTA!O205+ALP!O205+KTM!O205+IDK!O205+EKM!O205+TSR!O205+PLKD!O205+MLPM!O205+KKD!O205+WYND!O205+KNR!O205+KSRGD!O205+SHS!O205</f>
        <v>0</v>
      </c>
      <c r="P205" s="21">
        <f>TVM!P205+KLM!P205+PTA!P205+ALP!P205+KTM!P205+IDK!P205+EKM!P205+TSR!P205+PLKD!P205+MLPM!P205+KKD!P205+WYND!P205+KNR!P205+KSRGD!P205+SHS!P205</f>
        <v>0</v>
      </c>
      <c r="Q205" s="21"/>
      <c r="R205" s="21">
        <f>TVM!R205+KLM!R205+PTA!R205+ALP!R205+KTM!R205+IDK!R205+EKM!R205+TSR!R205+PLKD!R205+MLPM!R205+KKD!R205+WYND!R205+KNR!R205+KSRGD!R205+SHS!R205</f>
        <v>0</v>
      </c>
      <c r="S205" s="21"/>
      <c r="T205" s="21">
        <f>TVM!T205+KLM!T205+PTA!T205+ALP!T205+KTM!T205+IDK!T205+EKM!T205+TSR!T205+PLKD!T205+MLPM!T205+KKD!T205+WYND!T205+KNR!T205+KSRGD!T205+SHS!T205</f>
        <v>0</v>
      </c>
      <c r="U205" s="21"/>
      <c r="V205" s="21">
        <f>TVM!V205+KLM!V205+PTA!V205+ALP!V205+KTM!V205+IDK!V205+EKM!V205+TSR!V205+PLKD!V205+MLPM!V205+KKD!V205+WYND!V205+KNR!V205+KSRGD!V205+SHS!V205</f>
        <v>0</v>
      </c>
      <c r="W205" s="21"/>
      <c r="X205" s="22">
        <f t="shared" si="8"/>
        <v>0</v>
      </c>
      <c r="Y205" s="46"/>
    </row>
    <row r="206" spans="1:25" ht="22.5" customHeight="1">
      <c r="A206" s="498"/>
      <c r="B206" s="496"/>
      <c r="C206" s="496"/>
      <c r="D206" s="43">
        <v>197</v>
      </c>
      <c r="E206" s="43" t="s">
        <v>307</v>
      </c>
      <c r="F206" s="21">
        <f>TVM!F206+KLM!F206+PTA!F206+ALP!F206+KTM!F206+IDK!F206+EKM!F206+TSR!F206+PLKD!F206+MLPM!F206+KKD!F206+WYND!F206+KNR!F206+KSRGD!F206+SHS!F206</f>
        <v>0</v>
      </c>
      <c r="G206" s="21"/>
      <c r="H206" s="21">
        <f>TVM!H206+KLM!H206+PTA!H206+ALP!H206+KTM!H206+IDK!H206+EKM!H206+TSR!H206+PLKD!H206+MLPM!H206+KKD!H206+WYND!H206+KNR!H206+KSRGD!H206+SHS!H206</f>
        <v>0</v>
      </c>
      <c r="I206" s="21">
        <f>TVM!I206+KLM!I206+PTA!I206+ALP!I206+KTM!I206+IDK!I206+EKM!I206+TSR!I206+PLKD!I206+MLPM!I206+KKD!I206+WYND!I206+KNR!I206+KSRGD!I206+SHS!I206</f>
        <v>0</v>
      </c>
      <c r="J206" s="21">
        <f>TVM!J206+KLM!J206+PTA!J206+ALP!J206+KTM!J206+IDK!J206+EKM!J206+TSR!J206+PLKD!J206+MLPM!J206+KKD!J206+WYND!J206+KNR!J206+KSRGD!J206+SHS!J206</f>
        <v>0</v>
      </c>
      <c r="K206" s="21"/>
      <c r="L206" s="21">
        <f>TVM!L206+KLM!L206+PTA!L206+ALP!L206+KTM!L206+IDK!L206+EKM!L206+TSR!L206+PLKD!L206+MLPM!L206+KKD!L206+WYND!L206+KNR!L206+KSRGD!L206+SHS!L206</f>
        <v>0</v>
      </c>
      <c r="M206" s="21"/>
      <c r="N206" s="21">
        <f>TVM!N206+KLM!N206+PTA!N206+ALP!N206+KTM!N206+IDK!N206+EKM!N206+TSR!N206+PLKD!N206+MLPM!N206+KKD!N206+WYND!N206+KNR!N206+KSRGD!N206+SHS!N206</f>
        <v>0</v>
      </c>
      <c r="O206" s="21">
        <f>TVM!O206+KLM!O206+PTA!O206+ALP!O206+KTM!O206+IDK!O206+EKM!O206+TSR!O206+PLKD!O206+MLPM!O206+KKD!O206+WYND!O206+KNR!O206+KSRGD!O206+SHS!O206</f>
        <v>0</v>
      </c>
      <c r="P206" s="21">
        <f>TVM!P206+KLM!P206+PTA!P206+ALP!P206+KTM!P206+IDK!P206+EKM!P206+TSR!P206+PLKD!P206+MLPM!P206+KKD!P206+WYND!P206+KNR!P206+KSRGD!P206+SHS!P206</f>
        <v>0</v>
      </c>
      <c r="Q206" s="21"/>
      <c r="R206" s="21">
        <f>TVM!R206+KLM!R206+PTA!R206+ALP!R206+KTM!R206+IDK!R206+EKM!R206+TSR!R206+PLKD!R206+MLPM!R206+KKD!R206+WYND!R206+KNR!R206+KSRGD!R206+SHS!R206</f>
        <v>0</v>
      </c>
      <c r="S206" s="21"/>
      <c r="T206" s="22">
        <f>TVM!T206+KLM!T206+PTA!T206+ALP!T206+KTM!T206+IDK!T206+EKM!T206+TSR!T206+PLKD!T206+MLPM!T206+KKD!T206+WYND!T206+KNR!T206+KSRGD!T206+SHS!T206</f>
        <v>0</v>
      </c>
      <c r="U206" s="21"/>
      <c r="V206" s="21">
        <f>TVM!V206+KLM!V206+PTA!V206+ALP!V206+KTM!V206+IDK!V206+EKM!V206+TSR!V206+PLKD!V206+MLPM!V206+KKD!V206+WYND!V206+KNR!V206+KSRGD!V206+SHS!V206</f>
        <v>0</v>
      </c>
      <c r="W206" s="21"/>
      <c r="X206" s="22">
        <f t="shared" si="8"/>
        <v>0</v>
      </c>
      <c r="Y206" s="46"/>
    </row>
    <row r="207" spans="1:25" ht="63">
      <c r="A207" s="498"/>
      <c r="B207" s="43" t="s">
        <v>308</v>
      </c>
      <c r="C207" s="43" t="s">
        <v>246</v>
      </c>
      <c r="D207" s="43">
        <v>198</v>
      </c>
      <c r="E207" s="43" t="s">
        <v>247</v>
      </c>
      <c r="F207" s="21">
        <f>TVM!F207+KLM!F207+PTA!F207+ALP!F207+KTM!F207+IDK!F207+EKM!F207+TSR!F207+PLKD!F207+MLPM!F207+KKD!F207+WYND!F207+KNR!F207+KSRGD!F207+SHS!F207</f>
        <v>0</v>
      </c>
      <c r="G207" s="21"/>
      <c r="H207" s="21">
        <f>TVM!H207+KLM!H207+PTA!H207+ALP!H207+KTM!H207+IDK!H207+EKM!H207+TSR!H207+PLKD!H207+MLPM!H207+KKD!H207+WYND!H207+KNR!H207+KSRGD!H207+SHS!H207</f>
        <v>0</v>
      </c>
      <c r="I207" s="21">
        <f>TVM!I207+KLM!I207+PTA!I207+ALP!I207+KTM!I207+IDK!I207+EKM!I207+TSR!I207+PLKD!I207+MLPM!I207+KKD!I207+WYND!I207+KNR!I207+KSRGD!I207+SHS!I207</f>
        <v>0</v>
      </c>
      <c r="J207" s="21">
        <f>TVM!J207+KLM!J207+PTA!J207+ALP!J207+KTM!J207+IDK!J207+EKM!J207+TSR!J207+PLKD!J207+MLPM!J207+KKD!J207+WYND!J207+KNR!J207+KSRGD!J207+SHS!J207</f>
        <v>0</v>
      </c>
      <c r="K207" s="21"/>
      <c r="L207" s="21">
        <f>TVM!L207+KLM!L207+PTA!L207+ALP!L207+KTM!L207+IDK!L207+EKM!L207+TSR!L207+PLKD!L207+MLPM!L207+KKD!L207+WYND!L207+KNR!L207+KSRGD!L207+SHS!L207</f>
        <v>0</v>
      </c>
      <c r="M207" s="21"/>
      <c r="N207" s="21">
        <f>TVM!N207+KLM!N207+PTA!N207+ALP!N207+KTM!N207+IDK!N207+EKM!N207+TSR!N207+PLKD!N207+MLPM!N207+KKD!N207+WYND!N207+KNR!N207+KSRGD!N207+SHS!N207</f>
        <v>0</v>
      </c>
      <c r="O207" s="21">
        <f>TVM!O207+KLM!O207+PTA!O207+ALP!O207+KTM!O207+IDK!O207+EKM!O207+TSR!O207+PLKD!O207+MLPM!O207+KKD!O207+WYND!O207+KNR!O207+KSRGD!O207+SHS!O207</f>
        <v>0</v>
      </c>
      <c r="P207" s="21">
        <f>TVM!P207+KLM!P207+PTA!P207+ALP!P207+KTM!P207+IDK!P207+EKM!P207+TSR!P207+PLKD!P207+MLPM!P207+KKD!P207+WYND!P207+KNR!P207+KSRGD!P207+SHS!P207</f>
        <v>0</v>
      </c>
      <c r="Q207" s="21"/>
      <c r="R207" s="21">
        <f>TVM!R207+KLM!R207+PTA!R207+ALP!R207+KTM!R207+IDK!R207+EKM!R207+TSR!R207+PLKD!R207+MLPM!R207+KKD!R207+WYND!R207+KNR!R207+KSRGD!R207+SHS!R207</f>
        <v>0</v>
      </c>
      <c r="S207" s="21"/>
      <c r="T207" s="21">
        <f>TVM!T207+KLM!T207+PTA!T207+ALP!T207+KTM!T207+IDK!T207+EKM!T207+TSR!T207+PLKD!T207+MLPM!T207+KKD!T207+WYND!T207+KNR!T207+KSRGD!T207+SHS!T207</f>
        <v>0</v>
      </c>
      <c r="U207" s="21"/>
      <c r="V207" s="21">
        <f>TVM!V207+KLM!V207+PTA!V207+ALP!V207+KTM!V207+IDK!V207+EKM!V207+TSR!V207+PLKD!V207+MLPM!V207+KKD!V207+WYND!V207+KNR!V207+KSRGD!V207+SHS!V207</f>
        <v>0</v>
      </c>
      <c r="W207" s="21"/>
      <c r="X207" s="22">
        <f t="shared" si="8"/>
        <v>0</v>
      </c>
      <c r="Y207" s="46"/>
    </row>
    <row r="208" spans="1:25" ht="63">
      <c r="A208" s="498"/>
      <c r="B208" s="43" t="s">
        <v>309</v>
      </c>
      <c r="C208" s="43" t="s">
        <v>249</v>
      </c>
      <c r="D208" s="43">
        <v>199</v>
      </c>
      <c r="E208" s="43" t="s">
        <v>250</v>
      </c>
      <c r="F208" s="21">
        <f>TVM!F208+KLM!F208+PTA!F208+ALP!F208+KTM!F208+IDK!F208+EKM!F208+TSR!F208+PLKD!F208+MLPM!F208+KKD!F208+WYND!F208+KNR!F208+KSRGD!F208+SHS!F208</f>
        <v>0</v>
      </c>
      <c r="G208" s="21"/>
      <c r="H208" s="21">
        <f>TVM!H208+KLM!H208+PTA!H208+ALP!H208+KTM!H208+IDK!H208+EKM!H208+TSR!H208+PLKD!H208+MLPM!H208+KKD!H208+WYND!H208+KNR!H208+KSRGD!H208+SHS!H208</f>
        <v>0</v>
      </c>
      <c r="I208" s="21">
        <f>TVM!I208+KLM!I208+PTA!I208+ALP!I208+KTM!I208+IDK!I208+EKM!I208+TSR!I208+PLKD!I208+MLPM!I208+KKD!I208+WYND!I208+KNR!I208+KSRGD!I208+SHS!I208</f>
        <v>0</v>
      </c>
      <c r="J208" s="21">
        <f>TVM!J208+KLM!J208+PTA!J208+ALP!J208+KTM!J208+IDK!J208+EKM!J208+TSR!J208+PLKD!J208+MLPM!J208+KKD!J208+WYND!J208+KNR!J208+KSRGD!J208+SHS!J208</f>
        <v>0</v>
      </c>
      <c r="K208" s="21"/>
      <c r="L208" s="21">
        <f>TVM!L208+KLM!L208+PTA!L208+ALP!L208+KTM!L208+IDK!L208+EKM!L208+TSR!L208+PLKD!L208+MLPM!L208+KKD!L208+WYND!L208+KNR!L208+KSRGD!L208+SHS!L208</f>
        <v>0</v>
      </c>
      <c r="M208" s="21"/>
      <c r="N208" s="21">
        <f>TVM!N208+KLM!N208+PTA!N208+ALP!N208+KTM!N208+IDK!N208+EKM!N208+TSR!N208+PLKD!N208+MLPM!N208+KKD!N208+WYND!N208+KNR!N208+KSRGD!N208+SHS!N208</f>
        <v>0</v>
      </c>
      <c r="O208" s="21">
        <f>TVM!O208+KLM!O208+PTA!O208+ALP!O208+KTM!O208+IDK!O208+EKM!O208+TSR!O208+PLKD!O208+MLPM!O208+KKD!O208+WYND!O208+KNR!O208+KSRGD!O208+SHS!O208</f>
        <v>0</v>
      </c>
      <c r="P208" s="21">
        <f>TVM!P208+KLM!P208+PTA!P208+ALP!P208+KTM!P208+IDK!P208+EKM!P208+TSR!P208+PLKD!P208+MLPM!P208+KKD!P208+WYND!P208+KNR!P208+KSRGD!P208+SHS!P208</f>
        <v>0</v>
      </c>
      <c r="Q208" s="21"/>
      <c r="R208" s="21">
        <f>TVM!R208+KLM!R208+PTA!R208+ALP!R208+KTM!R208+IDK!R208+EKM!R208+TSR!R208+PLKD!R208+MLPM!R208+KKD!R208+WYND!R208+KNR!R208+KSRGD!R208+SHS!R208</f>
        <v>0</v>
      </c>
      <c r="S208" s="21"/>
      <c r="T208" s="22">
        <f>TVM!T208+KLM!T208+PTA!T208+ALP!T208+KTM!T208+IDK!T208+EKM!T208+TSR!T208+PLKD!T208+MLPM!T208+KKD!T208+WYND!T208+KNR!T208+KSRGD!T208+SHS!T208</f>
        <v>1227.9000000000001</v>
      </c>
      <c r="U208" s="21"/>
      <c r="V208" s="21">
        <f>TVM!V208+KLM!V208+PTA!V208+ALP!V208+KTM!V208+IDK!V208+EKM!V208+TSR!V208+PLKD!V208+MLPM!V208+KKD!V208+WYND!V208+KNR!V208+KSRGD!V208+SHS!V208</f>
        <v>0</v>
      </c>
      <c r="W208" s="21"/>
      <c r="X208" s="22">
        <f t="shared" si="8"/>
        <v>1227.9000000000001</v>
      </c>
      <c r="Y208" s="25" t="s">
        <v>555</v>
      </c>
    </row>
    <row r="209" spans="1:25" ht="90.75">
      <c r="A209" s="498"/>
      <c r="B209" s="43" t="s">
        <v>310</v>
      </c>
      <c r="C209" s="84" t="s">
        <v>311</v>
      </c>
      <c r="D209" s="43">
        <v>200</v>
      </c>
      <c r="E209" s="43" t="s">
        <v>312</v>
      </c>
      <c r="F209" s="21">
        <f>TVM!F209+KLM!F209+PTA!F209+ALP!F209+KTM!F209+IDK!F209+EKM!F209+TSR!F209+PLKD!F209+MLPM!F209+KKD!F209+WYND!F209+KNR!F209+KSRGD!F209+SHS!F209</f>
        <v>0</v>
      </c>
      <c r="G209" s="21"/>
      <c r="H209" s="21">
        <f>TVM!H209+KLM!H209+PTA!H209+ALP!H209+KTM!H209+IDK!H209+EKM!H209+TSR!H209+PLKD!H209+MLPM!H209+KKD!H209+WYND!H209+KNR!H209+KSRGD!H209+SHS!H209</f>
        <v>0</v>
      </c>
      <c r="I209" s="21">
        <f>TVM!I209+KLM!I209+PTA!I209+ALP!I209+KTM!I209+IDK!I209+EKM!I209+TSR!I209+PLKD!I209+MLPM!I209+KKD!I209+WYND!I209+KNR!I209+KSRGD!I209+SHS!I209</f>
        <v>0</v>
      </c>
      <c r="J209" s="21">
        <f>TVM!J209+KLM!J209+PTA!J209+ALP!J209+KTM!J209+IDK!J209+EKM!J209+TSR!J209+PLKD!J209+MLPM!J209+KKD!J209+WYND!J209+KNR!J209+KSRGD!J209+SHS!J209</f>
        <v>0</v>
      </c>
      <c r="K209" s="21"/>
      <c r="L209" s="21">
        <f>TVM!L209+KLM!L209+PTA!L209+ALP!L209+KTM!L209+IDK!L209+EKM!L209+TSR!L209+PLKD!L209+MLPM!L209+KKD!L209+WYND!L209+KNR!L209+KSRGD!L209+SHS!L209</f>
        <v>0</v>
      </c>
      <c r="M209" s="21"/>
      <c r="N209" s="21">
        <f>TVM!N209+KLM!N209+PTA!N209+ALP!N209+KTM!N209+IDK!N209+EKM!N209+TSR!N209+PLKD!N209+MLPM!N209+KKD!N209+WYND!N209+KNR!N209+KSRGD!N209+SHS!N209</f>
        <v>0</v>
      </c>
      <c r="O209" s="21">
        <f>TVM!O209+KLM!O209+PTA!O209+ALP!O209+KTM!O209+IDK!O209+EKM!O209+TSR!O209+PLKD!O209+MLPM!O209+KKD!O209+WYND!O209+KNR!O209+KSRGD!O209+SHS!O209</f>
        <v>0</v>
      </c>
      <c r="P209" s="21">
        <f>TVM!P209+KLM!P209+PTA!P209+ALP!P209+KTM!P209+IDK!P209+EKM!P209+TSR!P209+PLKD!P209+MLPM!P209+KKD!P209+WYND!P209+KNR!P209+KSRGD!P209+SHS!P209</f>
        <v>0</v>
      </c>
      <c r="Q209" s="21"/>
      <c r="R209" s="21">
        <f>TVM!R209+KLM!R209+PTA!R209+ALP!R209+KTM!R209+IDK!R209+EKM!R209+TSR!R209+PLKD!R209+MLPM!R209+KKD!R209+WYND!R209+KNR!R209+KSRGD!R209+SHS!R209</f>
        <v>0</v>
      </c>
      <c r="S209" s="21"/>
      <c r="T209" s="21">
        <f>TVM!T209+KLM!T209+PTA!T209+ALP!T209+KTM!T209+IDK!T209+EKM!T209+TSR!T209+PLKD!T209+MLPM!T209+KKD!T209+WYND!T209+KNR!T209+KSRGD!T209+SHS!T209</f>
        <v>0</v>
      </c>
      <c r="U209" s="21"/>
      <c r="V209" s="21">
        <f>TVM!V209+KLM!V209+PTA!V209+ALP!V209+KTM!V209+IDK!V209+EKM!V209+TSR!V209+PLKD!V209+MLPM!V209+KKD!V209+WYND!V209+KNR!V209+KSRGD!V209+SHS!V209</f>
        <v>0</v>
      </c>
      <c r="W209" s="21"/>
      <c r="X209" s="22">
        <f t="shared" si="8"/>
        <v>0</v>
      </c>
      <c r="Y209" s="61"/>
    </row>
    <row r="210" spans="1:25" ht="141.75">
      <c r="A210" s="498"/>
      <c r="B210" s="18" t="s">
        <v>313</v>
      </c>
      <c r="C210" s="18" t="s">
        <v>314</v>
      </c>
      <c r="D210" s="19">
        <v>201</v>
      </c>
      <c r="E210" s="20" t="s">
        <v>315</v>
      </c>
      <c r="F210" s="22">
        <f>TVM!F210+KLM!F210+PTA!F210+ALP!F210+KTM!F210+IDK!F210+EKM!F210+TSR!F210+PLKD!F210+MLPM!F210+KKD!F210+WYND!F210+KNR!F210+KSRGD!F210+SHS!F210</f>
        <v>0</v>
      </c>
      <c r="G210" s="21"/>
      <c r="H210" s="21">
        <f>TVM!H210+KLM!H210+PTA!H210+ALP!H210+KTM!H210+IDK!H210+EKM!H210+TSR!H210+PLKD!H210+MLPM!H210+KKD!H210+WYND!H210+KNR!H210+KSRGD!H210+SHS!H210</f>
        <v>0</v>
      </c>
      <c r="I210" s="21">
        <f>TVM!I210+KLM!I210+PTA!I210+ALP!I210+KTM!I210+IDK!I210+EKM!I210+TSR!I210+PLKD!I210+MLPM!I210+KKD!I210+WYND!I210+KNR!I210+KSRGD!I210+SHS!I210</f>
        <v>0</v>
      </c>
      <c r="J210" s="21">
        <f>TVM!J210+KLM!J210+PTA!J210+ALP!J210+KTM!J210+IDK!J210+EKM!J210+TSR!J210+PLKD!J210+MLPM!J210+KKD!J210+WYND!J210+KNR!J210+KSRGD!J210+SHS!J210</f>
        <v>0</v>
      </c>
      <c r="K210" s="21"/>
      <c r="L210" s="21">
        <f>TVM!L210+KLM!L210+PTA!L210+ALP!L210+KTM!L210+IDK!L210+EKM!L210+TSR!L210+PLKD!L210+MLPM!L210+KKD!L210+WYND!L210+KNR!L210+KSRGD!L210+SHS!L210</f>
        <v>0</v>
      </c>
      <c r="M210" s="21"/>
      <c r="N210" s="21">
        <f>TVM!N210+KLM!N210+PTA!N210+ALP!N210+KTM!N210+IDK!N210+EKM!N210+TSR!N210+PLKD!N210+MLPM!N210+KKD!N210+WYND!N210+KNR!N210+KSRGD!N210+SHS!N210</f>
        <v>0</v>
      </c>
      <c r="O210" s="21">
        <f>TVM!O210+KLM!O210+PTA!O210+ALP!O210+KTM!O210+IDK!O210+EKM!O210+TSR!O210+PLKD!O210+MLPM!O210+KKD!O210+WYND!O210+KNR!O210+KSRGD!O210+SHS!O210</f>
        <v>0</v>
      </c>
      <c r="P210" s="21">
        <f>TVM!P210+KLM!P210+PTA!P210+ALP!P210+KTM!P210+IDK!P210+EKM!P210+TSR!P210+PLKD!P210+MLPM!P210+KKD!P210+WYND!P210+KNR!P210+KSRGD!P210+SHS!P210</f>
        <v>0</v>
      </c>
      <c r="Q210" s="21"/>
      <c r="R210" s="21">
        <f>TVM!R210+KLM!R210+PTA!R210+ALP!R210+KTM!R210+IDK!R210+EKM!R210+TSR!R210+PLKD!R210+MLPM!R210+KKD!R210+WYND!R210+KNR!R210+KSRGD!R210+SHS!R210</f>
        <v>0</v>
      </c>
      <c r="S210" s="21"/>
      <c r="T210" s="22">
        <f>TVM!T210+KLM!T210+PTA!T210+ALP!T210+KTM!T210+IDK!T210+EKM!T210+TSR!T210+PLKD!T210+MLPM!T210+KKD!T210+WYND!T210+KNR!T210+KSRGD!T210+SHS!T210</f>
        <v>793.28980000000001</v>
      </c>
      <c r="U210" s="21"/>
      <c r="V210" s="21">
        <f>TVM!V210+KLM!V210+PTA!V210+ALP!V210+KTM!V210+IDK!V210+EKM!V210+TSR!V210+PLKD!V210+MLPM!V210+KKD!V210+WYND!V210+KNR!V210+KSRGD!V210+SHS!V210</f>
        <v>0</v>
      </c>
      <c r="W210" s="21"/>
      <c r="X210" s="54">
        <f t="shared" si="8"/>
        <v>793.28980000000001</v>
      </c>
      <c r="Y210" s="415"/>
    </row>
    <row r="211" spans="1:25" ht="78.75">
      <c r="A211" s="498"/>
      <c r="B211" s="18" t="s">
        <v>316</v>
      </c>
      <c r="C211" s="18" t="s">
        <v>317</v>
      </c>
      <c r="D211" s="19">
        <v>202</v>
      </c>
      <c r="E211" s="20" t="s">
        <v>318</v>
      </c>
      <c r="F211" s="21">
        <f>TVM!F211+KLM!F211+PTA!F211+ALP!F211+KTM!F211+IDK!F211+EKM!F211+TSR!F211+PLKD!F211+MLPM!F211+KKD!F211+WYND!F211+KNR!F211+KSRGD!F211+SHS!F211</f>
        <v>0</v>
      </c>
      <c r="G211" s="21"/>
      <c r="H211" s="21">
        <f>TVM!H211+KLM!H211+PTA!H211+ALP!H211+KTM!H211+IDK!H211+EKM!H211+TSR!H211+PLKD!H211+MLPM!H211+KKD!H211+WYND!H211+KNR!H211+KSRGD!H211+SHS!H211</f>
        <v>0</v>
      </c>
      <c r="I211" s="21">
        <f>TVM!I211+KLM!I211+PTA!I211+ALP!I211+KTM!I211+IDK!I211+EKM!I211+TSR!I211+PLKD!I211+MLPM!I211+KKD!I211+WYND!I211+KNR!I211+KSRGD!I211+SHS!I211</f>
        <v>0</v>
      </c>
      <c r="J211" s="21">
        <f>TVM!J211+KLM!J211+PTA!J211+ALP!J211+KTM!J211+IDK!J211+EKM!J211+TSR!J211+PLKD!J211+MLPM!J211+KKD!J211+WYND!J211+KNR!J211+KSRGD!J211+SHS!J211</f>
        <v>0</v>
      </c>
      <c r="K211" s="21"/>
      <c r="L211" s="21">
        <f>TVM!L211+KLM!L211+PTA!L211+ALP!L211+KTM!L211+IDK!L211+EKM!L211+TSR!L211+PLKD!L211+MLPM!L211+KKD!L211+WYND!L211+KNR!L211+KSRGD!L211+SHS!L211</f>
        <v>0</v>
      </c>
      <c r="M211" s="21"/>
      <c r="N211" s="21">
        <f>TVM!N211+KLM!N211+PTA!N211+ALP!N211+KTM!N211+IDK!N211+EKM!N211+TSR!N211+PLKD!N211+MLPM!N211+KKD!N211+WYND!N211+KNR!N211+KSRGD!N211+SHS!N211</f>
        <v>0</v>
      </c>
      <c r="O211" s="21">
        <f>TVM!O211+KLM!O211+PTA!O211+ALP!O211+KTM!O211+IDK!O211+EKM!O211+TSR!O211+PLKD!O211+MLPM!O211+KKD!O211+WYND!O211+KNR!O211+KSRGD!O211+SHS!O211</f>
        <v>0</v>
      </c>
      <c r="P211" s="21">
        <f>TVM!P211+KLM!P211+PTA!P211+ALP!P211+KTM!P211+IDK!P211+EKM!P211+TSR!P211+PLKD!P211+MLPM!P211+KKD!P211+WYND!P211+KNR!P211+KSRGD!P211+SHS!P211</f>
        <v>0</v>
      </c>
      <c r="Q211" s="21"/>
      <c r="R211" s="21">
        <f>TVM!R211+KLM!R211+PTA!R211+ALP!R211+KTM!R211+IDK!R211+EKM!R211+TSR!R211+PLKD!R211+MLPM!R211+KKD!R211+WYND!R211+KNR!R211+KSRGD!R211+SHS!R211</f>
        <v>0</v>
      </c>
      <c r="S211" s="21"/>
      <c r="T211" s="22">
        <f>TVM!T211+KLM!T211+PTA!T211+ALP!T211+KTM!T211+IDK!T211+EKM!T211+TSR!T211+PLKD!T211+MLPM!T211+KKD!T211+WYND!T211+KNR!T211+KSRGD!T211+SHS!T211</f>
        <v>14062.590000000002</v>
      </c>
      <c r="U211" s="21"/>
      <c r="V211" s="21">
        <f>TVM!V211+KLM!V211+PTA!V211+ALP!V211+KTM!V211+IDK!V211+EKM!V211+TSR!V211+PLKD!V211+MLPM!V211+KKD!V211+WYND!V211+KNR!V211+KSRGD!V211+SHS!V211</f>
        <v>0</v>
      </c>
      <c r="W211" s="21"/>
      <c r="X211" s="26">
        <f t="shared" si="8"/>
        <v>14062.590000000002</v>
      </c>
      <c r="Y211" s="23"/>
    </row>
    <row r="212" spans="1:25" ht="126">
      <c r="A212" s="498"/>
      <c r="B212" s="18" t="s">
        <v>319</v>
      </c>
      <c r="C212" s="18" t="s">
        <v>320</v>
      </c>
      <c r="D212" s="19">
        <v>203</v>
      </c>
      <c r="E212" s="20" t="s">
        <v>321</v>
      </c>
      <c r="F212" s="21">
        <f>TVM!F212+KLM!F212+PTA!F212+ALP!F212+KTM!F212+IDK!F212+EKM!F212+TSR!F212+PLKD!F212+MLPM!F212+KKD!F212+WYND!F212+KNR!F212+KSRGD!F212+SHS!F212</f>
        <v>0</v>
      </c>
      <c r="G212" s="21"/>
      <c r="H212" s="21">
        <f>TVM!H212+KLM!H212+PTA!H212+ALP!H212+KTM!H212+IDK!H212+EKM!H212+TSR!H212+PLKD!H212+MLPM!H212+KKD!H212+WYND!H212+KNR!H212+KSRGD!H212+SHS!H212</f>
        <v>0</v>
      </c>
      <c r="I212" s="21">
        <f>TVM!I212+KLM!I212+PTA!I212+ALP!I212+KTM!I212+IDK!I212+EKM!I212+TSR!I212+PLKD!I212+MLPM!I212+KKD!I212+WYND!I212+KNR!I212+KSRGD!I212+SHS!I212</f>
        <v>0</v>
      </c>
      <c r="J212" s="21">
        <f>TVM!J212+KLM!J212+PTA!J212+ALP!J212+KTM!J212+IDK!J212+EKM!J212+TSR!J212+PLKD!J212+MLPM!J212+KKD!J212+WYND!J212+KNR!J212+KSRGD!J212+SHS!J212</f>
        <v>0</v>
      </c>
      <c r="K212" s="21"/>
      <c r="L212" s="21">
        <f>TVM!L212+KLM!L212+PTA!L212+ALP!L212+KTM!L212+IDK!L212+EKM!L212+TSR!L212+PLKD!L212+MLPM!L212+KKD!L212+WYND!L212+KNR!L212+KSRGD!L212+SHS!L212</f>
        <v>0</v>
      </c>
      <c r="M212" s="21"/>
      <c r="N212" s="21">
        <f>TVM!N212+KLM!N212+PTA!N212+ALP!N212+KTM!N212+IDK!N212+EKM!N212+TSR!N212+PLKD!N212+MLPM!N212+KKD!N212+WYND!N212+KNR!N212+KSRGD!N212+SHS!N212</f>
        <v>0</v>
      </c>
      <c r="O212" s="21">
        <f>TVM!O212+KLM!O212+PTA!O212+ALP!O212+KTM!O212+IDK!O212+EKM!O212+TSR!O212+PLKD!O212+MLPM!O212+KKD!O212+WYND!O212+KNR!O212+KSRGD!O212+SHS!O212</f>
        <v>0</v>
      </c>
      <c r="P212" s="21">
        <f>TVM!P212+KLM!P212+PTA!P212+ALP!P212+KTM!P212+IDK!P212+EKM!P212+TSR!P212+PLKD!P212+MLPM!P212+KKD!P212+WYND!P212+KNR!P212+KSRGD!P212+SHS!P212</f>
        <v>0</v>
      </c>
      <c r="Q212" s="21"/>
      <c r="R212" s="21">
        <f>TVM!R212+KLM!R212+PTA!R212+ALP!R212+KTM!R212+IDK!R212+EKM!R212+TSR!R212+PLKD!R212+MLPM!R212+KKD!R212+WYND!R212+KNR!R212+KSRGD!R212+SHS!R212</f>
        <v>0</v>
      </c>
      <c r="S212" s="21"/>
      <c r="T212" s="21">
        <f>TVM!T212+KLM!T212+PTA!T212+ALP!T212+KTM!T212+IDK!T212+EKM!T212+TSR!T212+PLKD!T212+MLPM!T212+KKD!T212+WYND!T212+KNR!T212+KSRGD!T212+SHS!T212</f>
        <v>257.76</v>
      </c>
      <c r="U212" s="21"/>
      <c r="V212" s="21">
        <f>TVM!V212+KLM!V212+PTA!V212+ALP!V212+KTM!V212+IDK!V212+EKM!V212+TSR!V212+PLKD!V212+MLPM!V212+KKD!V212+WYND!V212+KNR!V212+KSRGD!V212+SHS!V212</f>
        <v>0</v>
      </c>
      <c r="W212" s="21"/>
      <c r="X212" s="22">
        <f t="shared" si="8"/>
        <v>257.76</v>
      </c>
      <c r="Y212" s="23"/>
    </row>
    <row r="213" spans="1:25" ht="69" customHeight="1">
      <c r="A213" s="498"/>
      <c r="B213" s="18" t="s">
        <v>322</v>
      </c>
      <c r="C213" s="18" t="s">
        <v>323</v>
      </c>
      <c r="D213" s="19">
        <v>204</v>
      </c>
      <c r="E213" s="20" t="s">
        <v>324</v>
      </c>
      <c r="F213" s="21">
        <f>TVM!F213+KLM!F213+PTA!F213+ALP!F213+KTM!F213+IDK!F213+EKM!F213+TSR!F213+PLKD!F213+MLPM!F213+KKD!F213+WYND!F213+KNR!F213+KSRGD!F213+SHS!F213</f>
        <v>0</v>
      </c>
      <c r="G213" s="21"/>
      <c r="H213" s="21">
        <f>TVM!H213+KLM!H213+PTA!H213+ALP!H213+KTM!H213+IDK!H213+EKM!H213+TSR!H213+PLKD!H213+MLPM!H213+KKD!H213+WYND!H213+KNR!H213+KSRGD!H213+SHS!H213</f>
        <v>0</v>
      </c>
      <c r="I213" s="21">
        <f>TVM!I213+KLM!I213+PTA!I213+ALP!I213+KTM!I213+IDK!I213+EKM!I213+TSR!I213+PLKD!I213+MLPM!I213+KKD!I213+WYND!I213+KNR!I213+KSRGD!I213+SHS!I213</f>
        <v>0</v>
      </c>
      <c r="J213" s="21">
        <f>TVM!J213+KLM!J213+PTA!J213+ALP!J213+KTM!J213+IDK!J213+EKM!J213+TSR!J213+PLKD!J213+MLPM!J213+KKD!J213+WYND!J213+KNR!J213+KSRGD!J213+SHS!J213</f>
        <v>0</v>
      </c>
      <c r="K213" s="21"/>
      <c r="L213" s="21">
        <f>TVM!L213+KLM!L213+PTA!L213+ALP!L213+KTM!L213+IDK!L213+EKM!L213+TSR!L213+PLKD!L213+MLPM!L213+KKD!L213+WYND!L213+KNR!L213+KSRGD!L213+SHS!L213</f>
        <v>0</v>
      </c>
      <c r="M213" s="21"/>
      <c r="N213" s="21">
        <f>TVM!N213+KLM!N213+PTA!N213+ALP!N213+KTM!N213+IDK!N213+EKM!N213+TSR!N213+PLKD!N213+MLPM!N213+KKD!N213+WYND!N213+KNR!N213+KSRGD!N213+SHS!N213</f>
        <v>0</v>
      </c>
      <c r="O213" s="21">
        <f>TVM!O213+KLM!O213+PTA!O213+ALP!O213+KTM!O213+IDK!O213+EKM!O213+TSR!O213+PLKD!O213+MLPM!O213+KKD!O213+WYND!O213+KNR!O213+KSRGD!O213+SHS!O213</f>
        <v>0</v>
      </c>
      <c r="P213" s="21">
        <f>TVM!P213+KLM!P213+PTA!P213+ALP!P213+KTM!P213+IDK!P213+EKM!P213+TSR!P213+PLKD!P213+MLPM!P213+KKD!P213+WYND!P213+KNR!P213+KSRGD!P213+SHS!P213</f>
        <v>0</v>
      </c>
      <c r="Q213" s="21"/>
      <c r="R213" s="21">
        <f>TVM!R213+KLM!R213+PTA!R213+ALP!R213+KTM!R213+IDK!R213+EKM!R213+TSR!R213+PLKD!R213+MLPM!R213+KKD!R213+WYND!R213+KNR!R213+KSRGD!R213+SHS!R213</f>
        <v>0</v>
      </c>
      <c r="S213" s="21"/>
      <c r="T213" s="68">
        <f>TVM!T213+KLM!T213+PTA!T213+ALP!T213+KTM!T213+IDK!T213+EKM!T213+TSR!T213+PLKD!T213+MLPM!T213+KKD!T213+WYND!T213+KNR!T213+KSRGD!T213+SHS!T213</f>
        <v>769.09199999999998</v>
      </c>
      <c r="U213" s="21"/>
      <c r="V213" s="21">
        <f>TVM!V213+KLM!V213+PTA!V213+ALP!V213+KTM!V213+IDK!V213+EKM!V213+TSR!V213+PLKD!V213+MLPM!V213+KKD!V213+WYND!V213+KNR!V213+KSRGD!V213+SHS!V213</f>
        <v>0</v>
      </c>
      <c r="W213" s="21"/>
      <c r="X213" s="26">
        <f t="shared" si="8"/>
        <v>769.09199999999998</v>
      </c>
      <c r="Y213" s="23" t="s">
        <v>325</v>
      </c>
    </row>
    <row r="214" spans="1:25" ht="110.25">
      <c r="A214" s="498"/>
      <c r="B214" s="18" t="s">
        <v>326</v>
      </c>
      <c r="C214" s="85" t="s">
        <v>291</v>
      </c>
      <c r="D214" s="19">
        <v>205</v>
      </c>
      <c r="E214" s="20" t="s">
        <v>327</v>
      </c>
      <c r="F214" s="21">
        <f>TVM!F214+KLM!F214+PTA!F214+ALP!F214+KTM!F214+IDK!F214+EKM!F214+TSR!F214+PLKD!F214+MLPM!F214+KKD!F214+WYND!F214+KNR!F214+KSRGD!F214+SHS!F214</f>
        <v>0</v>
      </c>
      <c r="G214" s="21"/>
      <c r="H214" s="21">
        <f>TVM!H214+KLM!H214+PTA!H214+ALP!H214+KTM!H214+IDK!H214+EKM!H214+TSR!H214+PLKD!H214+MLPM!H214+KKD!H214+WYND!H214+KNR!H214+KSRGD!H214+SHS!H214</f>
        <v>0</v>
      </c>
      <c r="I214" s="21">
        <f>TVM!I214+KLM!I214+PTA!I214+ALP!I214+KTM!I214+IDK!I214+EKM!I214+TSR!I214+PLKD!I214+MLPM!I214+KKD!I214+WYND!I214+KNR!I214+KSRGD!I214+SHS!I214</f>
        <v>0</v>
      </c>
      <c r="J214" s="21">
        <f>TVM!J214+KLM!J214+PTA!J214+ALP!J214+KTM!J214+IDK!J214+EKM!J214+TSR!J214+PLKD!J214+MLPM!J214+KKD!J214+WYND!J214+KNR!J214+KSRGD!J214+SHS!J214</f>
        <v>0</v>
      </c>
      <c r="K214" s="21"/>
      <c r="L214" s="21">
        <f>TVM!L214+KLM!L214+PTA!L214+ALP!L214+KTM!L214+IDK!L214+EKM!L214+TSR!L214+PLKD!L214+MLPM!L214+KKD!L214+WYND!L214+KNR!L214+KSRGD!L214+SHS!L214</f>
        <v>0</v>
      </c>
      <c r="M214" s="21"/>
      <c r="N214" s="21">
        <f>TVM!N214+KLM!N214+PTA!N214+ALP!N214+KTM!N214+IDK!N214+EKM!N214+TSR!N214+PLKD!N214+MLPM!N214+KKD!N214+WYND!N214+KNR!N214+KSRGD!N214+SHS!N214</f>
        <v>0</v>
      </c>
      <c r="O214" s="21">
        <f>TVM!O214+KLM!O214+PTA!O214+ALP!O214+KTM!O214+IDK!O214+EKM!O214+TSR!O214+PLKD!O214+MLPM!O214+KKD!O214+WYND!O214+KNR!O214+KSRGD!O214+SHS!O214</f>
        <v>0</v>
      </c>
      <c r="P214" s="21">
        <f>TVM!P214+KLM!P214+PTA!P214+ALP!P214+KTM!P214+IDK!P214+EKM!P214+TSR!P214+PLKD!P214+MLPM!P214+KKD!P214+WYND!P214+KNR!P214+KSRGD!P214+SHS!P214</f>
        <v>0</v>
      </c>
      <c r="Q214" s="21"/>
      <c r="R214" s="21">
        <f>TVM!R214+KLM!R214+PTA!R214+ALP!R214+KTM!R214+IDK!R214+EKM!R214+TSR!R214+PLKD!R214+MLPM!R214+KKD!R214+WYND!R214+KNR!R214+KSRGD!R214+SHS!R214</f>
        <v>0</v>
      </c>
      <c r="S214" s="21"/>
      <c r="T214" s="21">
        <f>TVM!T214+KLM!T214+PTA!T214+ALP!T214+KTM!T214+IDK!T214+EKM!T214+TSR!T214+PLKD!T214+MLPM!T214+KKD!T214+WYND!T214+KNR!T214+KSRGD!T214+SHS!T214</f>
        <v>185.70123000000001</v>
      </c>
      <c r="U214" s="21"/>
      <c r="V214" s="21">
        <f>TVM!V214+KLM!V214+PTA!V214+ALP!V214+KTM!V214+IDK!V214+EKM!V214+TSR!V214+PLKD!V214+MLPM!V214+KKD!V214+WYND!V214+KNR!V214+KSRGD!V214+SHS!V214</f>
        <v>0</v>
      </c>
      <c r="W214" s="21"/>
      <c r="X214" s="54">
        <f t="shared" si="8"/>
        <v>185.70123000000001</v>
      </c>
      <c r="Y214" s="362" t="s">
        <v>556</v>
      </c>
    </row>
    <row r="215" spans="1:25" ht="59.25" customHeight="1">
      <c r="A215" s="498"/>
      <c r="B215" s="18" t="s">
        <v>329</v>
      </c>
      <c r="C215" s="18" t="s">
        <v>246</v>
      </c>
      <c r="D215" s="19">
        <v>206</v>
      </c>
      <c r="E215" s="86" t="s">
        <v>330</v>
      </c>
      <c r="F215" s="21">
        <f>TVM!F215+KLM!F215+PTA!F215+ALP!F215+KTM!F215+IDK!F215+EKM!F215+TSR!F215+PLKD!F215+MLPM!F215+KKD!F215+WYND!F215+KNR!F215+KSRGD!F215+SHS!F215</f>
        <v>0</v>
      </c>
      <c r="G215" s="21"/>
      <c r="H215" s="21">
        <f>TVM!H215+KLM!H215+PTA!H215+ALP!H215+KTM!H215+IDK!H215+EKM!H215+TSR!H215+PLKD!H215+MLPM!H215+KKD!H215+WYND!H215+KNR!H215+KSRGD!H215+SHS!H215</f>
        <v>0</v>
      </c>
      <c r="I215" s="21">
        <f>TVM!I215+KLM!I215+PTA!I215+ALP!I215+KTM!I215+IDK!I215+EKM!I215+TSR!I215+PLKD!I215+MLPM!I215+KKD!I215+WYND!I215+KNR!I215+KSRGD!I215+SHS!I215</f>
        <v>0</v>
      </c>
      <c r="J215" s="21">
        <f>TVM!J215+KLM!J215+PTA!J215+ALP!J215+KTM!J215+IDK!J215+EKM!J215+TSR!J215+PLKD!J215+MLPM!J215+KKD!J215+WYND!J215+KNR!J215+KSRGD!J215+SHS!J215</f>
        <v>0</v>
      </c>
      <c r="K215" s="21"/>
      <c r="L215" s="21">
        <f>TVM!L215+KLM!L215+PTA!L215+ALP!L215+KTM!L215+IDK!L215+EKM!L215+TSR!L215+PLKD!L215+MLPM!L215+KKD!L215+WYND!L215+KNR!L215+KSRGD!L215+SHS!L215</f>
        <v>0</v>
      </c>
      <c r="M215" s="21"/>
      <c r="N215" s="21">
        <f>TVM!N215+KLM!N215+PTA!N215+ALP!N215+KTM!N215+IDK!N215+EKM!N215+TSR!N215+PLKD!N215+MLPM!N215+KKD!N215+WYND!N215+KNR!N215+KSRGD!N215+SHS!N215</f>
        <v>0</v>
      </c>
      <c r="O215" s="21">
        <f>TVM!O215+KLM!O215+PTA!O215+ALP!O215+KTM!O215+IDK!O215+EKM!O215+TSR!O215+PLKD!O215+MLPM!O215+KKD!O215+WYND!O215+KNR!O215+KSRGD!O215+SHS!O215</f>
        <v>0</v>
      </c>
      <c r="P215" s="21">
        <f>TVM!P215+KLM!P215+PTA!P215+ALP!P215+KTM!P215+IDK!P215+EKM!P215+TSR!P215+PLKD!P215+MLPM!P215+KKD!P215+WYND!P215+KNR!P215+KSRGD!P215+SHS!P215</f>
        <v>0</v>
      </c>
      <c r="Q215" s="21"/>
      <c r="R215" s="21">
        <f>TVM!R215+KLM!R215+PTA!R215+ALP!R215+KTM!R215+IDK!R215+EKM!R215+TSR!R215+PLKD!R215+MLPM!R215+KKD!R215+WYND!R215+KNR!R215+KSRGD!R215+SHS!R215</f>
        <v>0</v>
      </c>
      <c r="S215" s="21"/>
      <c r="T215" s="48">
        <f>TVM!T215+KLM!T215+PTA!T215+ALP!T215+KTM!T215+IDK!T215+EKM!T215+TSR!T215+PLKD!T215+MLPM!T215+KKD!T215+WYND!T215+KNR!T215+KSRGD!T215+SHS!T215</f>
        <v>15</v>
      </c>
      <c r="U215" s="21"/>
      <c r="V215" s="48">
        <f>TVM!V215+KLM!V215+PTA!V215+ALP!V215+KTM!V215+IDK!V215+EKM!V215+TSR!V215+PLKD!V215+MLPM!V215+KKD!V215+WYND!V215+KNR!V215+KSRGD!V215+SHS!V215</f>
        <v>0</v>
      </c>
      <c r="W215" s="21"/>
      <c r="X215" s="54">
        <f t="shared" si="8"/>
        <v>15</v>
      </c>
      <c r="Y215" s="55" t="s">
        <v>557</v>
      </c>
    </row>
    <row r="216" spans="1:25" ht="31.5" customHeight="1">
      <c r="A216" s="496"/>
      <c r="B216" s="500" t="s">
        <v>331</v>
      </c>
      <c r="C216" s="489"/>
      <c r="D216" s="490"/>
      <c r="E216" s="59"/>
      <c r="F216" s="74">
        <f t="shared" ref="F216:X216" si="9">SUM(F159:F215)</f>
        <v>3.5639999999999996</v>
      </c>
      <c r="G216" s="74">
        <f t="shared" si="9"/>
        <v>0</v>
      </c>
      <c r="H216" s="75">
        <f t="shared" si="9"/>
        <v>6880</v>
      </c>
      <c r="I216" s="75">
        <f t="shared" si="9"/>
        <v>20</v>
      </c>
      <c r="J216" s="75">
        <f t="shared" si="9"/>
        <v>6900</v>
      </c>
      <c r="K216" s="74">
        <f t="shared" si="9"/>
        <v>0</v>
      </c>
      <c r="L216" s="74">
        <f t="shared" si="9"/>
        <v>931.69236899999999</v>
      </c>
      <c r="M216" s="74">
        <f t="shared" si="9"/>
        <v>0</v>
      </c>
      <c r="N216" s="74">
        <f t="shared" si="9"/>
        <v>0</v>
      </c>
      <c r="O216" s="74">
        <f t="shared" si="9"/>
        <v>6449.1554699999997</v>
      </c>
      <c r="P216" s="74">
        <f t="shared" si="9"/>
        <v>12067.965469999999</v>
      </c>
      <c r="Q216" s="74">
        <f t="shared" si="9"/>
        <v>0</v>
      </c>
      <c r="R216" s="74">
        <f t="shared" si="9"/>
        <v>457.96</v>
      </c>
      <c r="S216" s="74">
        <f t="shared" si="9"/>
        <v>0</v>
      </c>
      <c r="T216" s="75">
        <f t="shared" si="9"/>
        <v>91501.569696599981</v>
      </c>
      <c r="U216" s="74">
        <f t="shared" si="9"/>
        <v>0</v>
      </c>
      <c r="V216" s="74">
        <f t="shared" si="9"/>
        <v>0</v>
      </c>
      <c r="W216" s="74">
        <f t="shared" si="9"/>
        <v>0</v>
      </c>
      <c r="X216" s="60">
        <f t="shared" si="9"/>
        <v>111862.75153560001</v>
      </c>
      <c r="Y216" s="87"/>
    </row>
    <row r="217" spans="1:25" ht="30.75" customHeight="1">
      <c r="A217" s="502" t="s">
        <v>332</v>
      </c>
      <c r="B217" s="489"/>
      <c r="C217" s="489"/>
      <c r="D217" s="490"/>
      <c r="E217" s="88"/>
      <c r="F217" s="89">
        <f t="shared" ref="F217:X217" si="10">F216+F158+F134+F93+F68</f>
        <v>1857.4417500000002</v>
      </c>
      <c r="G217" s="89">
        <f t="shared" si="10"/>
        <v>0</v>
      </c>
      <c r="H217" s="90">
        <f t="shared" si="10"/>
        <v>7490</v>
      </c>
      <c r="I217" s="90">
        <f t="shared" si="10"/>
        <v>194</v>
      </c>
      <c r="J217" s="90">
        <f t="shared" si="10"/>
        <v>7684</v>
      </c>
      <c r="K217" s="89">
        <f t="shared" si="10"/>
        <v>0</v>
      </c>
      <c r="L217" s="89">
        <f t="shared" si="10"/>
        <v>6441.0929861999994</v>
      </c>
      <c r="M217" s="89">
        <f t="shared" si="10"/>
        <v>0</v>
      </c>
      <c r="N217" s="89">
        <f t="shared" si="10"/>
        <v>0</v>
      </c>
      <c r="O217" s="89">
        <f t="shared" si="10"/>
        <v>13570.346013999999</v>
      </c>
      <c r="P217" s="89">
        <f t="shared" si="10"/>
        <v>19189.156014</v>
      </c>
      <c r="Q217" s="89">
        <f t="shared" si="10"/>
        <v>0</v>
      </c>
      <c r="R217" s="90">
        <f t="shared" si="10"/>
        <v>3874.7710999999999</v>
      </c>
      <c r="S217" s="89">
        <f t="shared" si="10"/>
        <v>0</v>
      </c>
      <c r="T217" s="90">
        <f t="shared" si="10"/>
        <v>115352.63988659997</v>
      </c>
      <c r="U217" s="89">
        <f t="shared" si="10"/>
        <v>0</v>
      </c>
      <c r="V217" s="90">
        <f t="shared" si="10"/>
        <v>165.17000000000002</v>
      </c>
      <c r="W217" s="89">
        <f t="shared" si="10"/>
        <v>0</v>
      </c>
      <c r="X217" s="89">
        <f t="shared" si="10"/>
        <v>154564.2717368</v>
      </c>
      <c r="Y217" s="375"/>
    </row>
    <row r="218" spans="1:25" ht="24.75" customHeight="1">
      <c r="A218" s="38"/>
      <c r="B218" s="38"/>
      <c r="C218" s="38"/>
      <c r="D218" s="38"/>
      <c r="E218" s="38"/>
      <c r="F218" s="91"/>
      <c r="G218" s="92"/>
      <c r="H218" s="92"/>
      <c r="I218" s="92"/>
      <c r="J218" s="92"/>
      <c r="K218" s="91"/>
      <c r="L218" s="91"/>
      <c r="M218" s="91"/>
      <c r="N218" s="91"/>
      <c r="O218" s="91"/>
      <c r="P218" s="91"/>
      <c r="Q218" s="91"/>
      <c r="R218" s="91"/>
      <c r="S218" s="92"/>
      <c r="T218" s="92"/>
      <c r="U218" s="91"/>
      <c r="V218" s="91"/>
      <c r="W218" s="91"/>
      <c r="X218" s="91"/>
      <c r="Y218" s="93"/>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92"/>
      <c r="U219" s="38"/>
      <c r="V219" s="38"/>
      <c r="W219" s="38"/>
      <c r="X219" s="91"/>
      <c r="Y219" s="39"/>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91"/>
      <c r="Y220" s="39"/>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9"/>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sheetData>
  <mergeCells count="97">
    <mergeCell ref="B216:D216"/>
    <mergeCell ref="A217:D217"/>
    <mergeCell ref="A159:A216"/>
    <mergeCell ref="C159:C162"/>
    <mergeCell ref="A135:A158"/>
    <mergeCell ref="B135:B136"/>
    <mergeCell ref="B138:B144"/>
    <mergeCell ref="B145:B146"/>
    <mergeCell ref="B147:B149"/>
    <mergeCell ref="B150:B153"/>
    <mergeCell ref="B158:D158"/>
    <mergeCell ref="B173:B179"/>
    <mergeCell ref="C173:C179"/>
    <mergeCell ref="B180:B183"/>
    <mergeCell ref="C180:C183"/>
    <mergeCell ref="B184:B186"/>
    <mergeCell ref="C184:C186"/>
    <mergeCell ref="B187:B192"/>
    <mergeCell ref="B202:B203"/>
    <mergeCell ref="C202:C203"/>
    <mergeCell ref="B204:B206"/>
    <mergeCell ref="C204:C206"/>
    <mergeCell ref="C187:C192"/>
    <mergeCell ref="B194:B199"/>
    <mergeCell ref="C194:C199"/>
    <mergeCell ref="B200:B201"/>
    <mergeCell ref="C200:C201"/>
    <mergeCell ref="C135:C136"/>
    <mergeCell ref="C138:C144"/>
    <mergeCell ref="C145:C146"/>
    <mergeCell ref="C147:C149"/>
    <mergeCell ref="C150:C153"/>
    <mergeCell ref="B159:B162"/>
    <mergeCell ref="B163:B167"/>
    <mergeCell ref="C163:C167"/>
    <mergeCell ref="B168:B172"/>
    <mergeCell ref="C168:C172"/>
    <mergeCell ref="B106:B110"/>
    <mergeCell ref="A69:A93"/>
    <mergeCell ref="B70:B74"/>
    <mergeCell ref="C70:C74"/>
    <mergeCell ref="C75:C78"/>
    <mergeCell ref="A94:A134"/>
    <mergeCell ref="B131:B132"/>
    <mergeCell ref="C131:C132"/>
    <mergeCell ref="B134:D134"/>
    <mergeCell ref="B128:B130"/>
    <mergeCell ref="C128:C130"/>
    <mergeCell ref="C106:C110"/>
    <mergeCell ref="B79:B85"/>
    <mergeCell ref="C79:C85"/>
    <mergeCell ref="B86:B89"/>
    <mergeCell ref="C86:C89"/>
    <mergeCell ref="B75:B78"/>
    <mergeCell ref="B94:B103"/>
    <mergeCell ref="C94:C103"/>
    <mergeCell ref="B104:B105"/>
    <mergeCell ref="C104:C105"/>
    <mergeCell ref="B93:D93"/>
    <mergeCell ref="B119:B120"/>
    <mergeCell ref="C119:C120"/>
    <mergeCell ref="B122:B125"/>
    <mergeCell ref="C122:C125"/>
    <mergeCell ref="B111:B113"/>
    <mergeCell ref="C111:C113"/>
    <mergeCell ref="B114:B118"/>
    <mergeCell ref="C114:C118"/>
    <mergeCell ref="A6:A68"/>
    <mergeCell ref="B6:B23"/>
    <mergeCell ref="C6:C23"/>
    <mergeCell ref="B24:B25"/>
    <mergeCell ref="C24:C25"/>
    <mergeCell ref="B68:D68"/>
    <mergeCell ref="B47:B56"/>
    <mergeCell ref="C47:C56"/>
    <mergeCell ref="B57:B66"/>
    <mergeCell ref="C57:C66"/>
    <mergeCell ref="B40:B46"/>
    <mergeCell ref="C40:C46"/>
    <mergeCell ref="B26:B36"/>
    <mergeCell ref="C26:C36"/>
    <mergeCell ref="B37:B39"/>
    <mergeCell ref="C37:C39"/>
    <mergeCell ref="L4:M4"/>
    <mergeCell ref="N4:Q4"/>
    <mergeCell ref="R4:S4"/>
    <mergeCell ref="X3:Y3"/>
    <mergeCell ref="A4:A5"/>
    <mergeCell ref="B4:B5"/>
    <mergeCell ref="C4:C5"/>
    <mergeCell ref="D4:D5"/>
    <mergeCell ref="E4:E5"/>
    <mergeCell ref="H4:K4"/>
    <mergeCell ref="F4:G4"/>
    <mergeCell ref="Y4:Y5"/>
    <mergeCell ref="T4:U4"/>
    <mergeCell ref="V4:W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dimension ref="A1:U972"/>
  <sheetViews>
    <sheetView workbookViewId="0">
      <pane xSplit="5" ySplit="5" topLeftCell="F210" activePane="bottomRight" state="frozen"/>
      <selection pane="topRight" activeCell="F1" sqref="F1"/>
      <selection pane="bottomLeft" activeCell="A6" sqref="A6"/>
      <selection pane="bottomRight" activeCell="W214" sqref="W214"/>
    </sheetView>
  </sheetViews>
  <sheetFormatPr defaultColWidth="14.42578125" defaultRowHeight="15.75"/>
  <cols>
    <col min="1" max="1" width="4.140625" style="24" customWidth="1"/>
    <col min="2" max="2" width="5.85546875" style="24" customWidth="1"/>
    <col min="3" max="3" width="9.42578125" style="24" customWidth="1"/>
    <col min="4" max="4" width="6.42578125" style="24" customWidth="1"/>
    <col min="5" max="5" width="22.7109375" style="24" customWidth="1"/>
    <col min="6" max="21" width="10.85546875" style="24" customWidth="1"/>
    <col min="22" max="16384" width="14.42578125" style="24"/>
  </cols>
  <sheetData>
    <row r="1" spans="1:21">
      <c r="A1" s="35"/>
      <c r="B1" s="36"/>
      <c r="C1" s="36"/>
      <c r="D1" s="36"/>
      <c r="E1" s="474" t="s">
        <v>558</v>
      </c>
      <c r="F1" s="524"/>
    </row>
    <row r="2" spans="1:21">
      <c r="A2" s="38"/>
      <c r="B2" s="38"/>
      <c r="C2" s="38"/>
      <c r="D2" s="38"/>
      <c r="E2" s="38"/>
      <c r="F2" s="38"/>
      <c r="G2" s="38"/>
      <c r="H2" s="38"/>
      <c r="I2" s="38"/>
      <c r="J2" s="38"/>
      <c r="K2" s="38"/>
      <c r="L2" s="38"/>
      <c r="M2" s="38"/>
      <c r="N2" s="38"/>
      <c r="O2" s="38"/>
      <c r="P2" s="38"/>
      <c r="Q2" s="38"/>
      <c r="R2" s="38"/>
      <c r="S2" s="38"/>
      <c r="T2" s="38"/>
      <c r="U2" s="38"/>
    </row>
    <row r="3" spans="1:21" ht="30" customHeight="1">
      <c r="A3" s="38"/>
      <c r="B3" s="40"/>
      <c r="C3" s="40"/>
      <c r="D3" s="40"/>
      <c r="E3" s="40"/>
      <c r="F3" s="40"/>
      <c r="G3" s="40"/>
      <c r="H3" s="40"/>
      <c r="I3" s="40"/>
      <c r="J3" s="40"/>
      <c r="K3" s="40"/>
      <c r="L3" s="40"/>
      <c r="M3" s="40"/>
      <c r="N3" s="40"/>
      <c r="O3" s="40"/>
      <c r="P3" s="40"/>
      <c r="Q3" s="40"/>
      <c r="R3" s="40"/>
      <c r="S3" s="40"/>
      <c r="T3" s="40"/>
      <c r="U3" s="40"/>
    </row>
    <row r="4" spans="1:21" ht="30" customHeight="1">
      <c r="A4" s="495" t="s">
        <v>3</v>
      </c>
      <c r="B4" s="495" t="s">
        <v>4</v>
      </c>
      <c r="C4" s="495" t="s">
        <v>5</v>
      </c>
      <c r="D4" s="495" t="s">
        <v>6</v>
      </c>
      <c r="E4" s="495" t="s">
        <v>7</v>
      </c>
      <c r="F4" s="457" t="s">
        <v>1204</v>
      </c>
      <c r="G4" s="457" t="s">
        <v>1205</v>
      </c>
      <c r="H4" s="457" t="s">
        <v>1206</v>
      </c>
      <c r="I4" s="457" t="s">
        <v>1207</v>
      </c>
      <c r="J4" s="457" t="s">
        <v>1208</v>
      </c>
      <c r="K4" s="457" t="s">
        <v>1209</v>
      </c>
      <c r="L4" s="457" t="s">
        <v>1210</v>
      </c>
      <c r="M4" s="457" t="s">
        <v>1211</v>
      </c>
      <c r="N4" s="457" t="s">
        <v>1212</v>
      </c>
      <c r="O4" s="457" t="s">
        <v>1213</v>
      </c>
      <c r="P4" s="457" t="s">
        <v>1214</v>
      </c>
      <c r="Q4" s="457" t="s">
        <v>1215</v>
      </c>
      <c r="R4" s="457" t="s">
        <v>1216</v>
      </c>
      <c r="S4" s="457" t="s">
        <v>1217</v>
      </c>
      <c r="T4" s="457" t="s">
        <v>1218</v>
      </c>
      <c r="U4" s="457" t="s">
        <v>1219</v>
      </c>
    </row>
    <row r="5" spans="1:21" ht="31.5">
      <c r="A5" s="496"/>
      <c r="B5" s="496"/>
      <c r="C5" s="496"/>
      <c r="D5" s="496"/>
      <c r="E5" s="496"/>
      <c r="F5" s="42" t="s">
        <v>1220</v>
      </c>
      <c r="G5" s="42" t="s">
        <v>1220</v>
      </c>
      <c r="H5" s="42" t="s">
        <v>1220</v>
      </c>
      <c r="I5" s="42" t="s">
        <v>1220</v>
      </c>
      <c r="J5" s="42" t="s">
        <v>1220</v>
      </c>
      <c r="K5" s="42" t="s">
        <v>1220</v>
      </c>
      <c r="L5" s="42" t="s">
        <v>1220</v>
      </c>
      <c r="M5" s="42" t="s">
        <v>1220</v>
      </c>
      <c r="N5" s="42" t="s">
        <v>1220</v>
      </c>
      <c r="O5" s="42" t="s">
        <v>1220</v>
      </c>
      <c r="P5" s="42" t="s">
        <v>1220</v>
      </c>
      <c r="Q5" s="42" t="s">
        <v>1220</v>
      </c>
      <c r="R5" s="42" t="s">
        <v>1220</v>
      </c>
      <c r="S5" s="42" t="s">
        <v>1220</v>
      </c>
      <c r="T5" s="42" t="s">
        <v>1220</v>
      </c>
      <c r="U5" s="42" t="s">
        <v>1220</v>
      </c>
    </row>
    <row r="6" spans="1:21" ht="63">
      <c r="A6" s="499" t="s">
        <v>24</v>
      </c>
      <c r="B6" s="497" t="s">
        <v>25</v>
      </c>
      <c r="C6" s="497" t="s">
        <v>26</v>
      </c>
      <c r="D6" s="43">
        <v>1</v>
      </c>
      <c r="E6" s="458" t="s">
        <v>27</v>
      </c>
      <c r="F6" s="355">
        <f>TVM!X6</f>
        <v>0</v>
      </c>
      <c r="G6" s="355">
        <f>KLM!X6</f>
        <v>0</v>
      </c>
      <c r="H6" s="355">
        <f>PTA!X6</f>
        <v>0</v>
      </c>
      <c r="I6" s="355">
        <f>ALP!X6</f>
        <v>0</v>
      </c>
      <c r="J6" s="355">
        <f>KTM!X6</f>
        <v>0</v>
      </c>
      <c r="K6" s="355">
        <f>IDK!X6</f>
        <v>0</v>
      </c>
      <c r="L6" s="355">
        <f>EKM!X6</f>
        <v>0</v>
      </c>
      <c r="M6" s="355">
        <f>TSR!X6</f>
        <v>0</v>
      </c>
      <c r="N6" s="355">
        <f>PLKD!X6</f>
        <v>0</v>
      </c>
      <c r="O6" s="355">
        <f>MLPM!X6</f>
        <v>0</v>
      </c>
      <c r="P6" s="355">
        <f>KKD!X6</f>
        <v>0</v>
      </c>
      <c r="Q6" s="355">
        <f>WYND!X6</f>
        <v>0</v>
      </c>
      <c r="R6" s="355">
        <f>KNR!X6</f>
        <v>0</v>
      </c>
      <c r="S6" s="355">
        <f>KSRGD!X6</f>
        <v>0</v>
      </c>
      <c r="T6" s="355">
        <f>SHS!X6</f>
        <v>0</v>
      </c>
      <c r="U6" s="22">
        <f>SUM(F6:T6)</f>
        <v>0</v>
      </c>
    </row>
    <row r="7" spans="1:21" ht="47.25">
      <c r="A7" s="498"/>
      <c r="B7" s="498"/>
      <c r="C7" s="498"/>
      <c r="D7" s="43">
        <v>2</v>
      </c>
      <c r="E7" s="47" t="s">
        <v>28</v>
      </c>
      <c r="F7" s="355">
        <f>TVM!X7</f>
        <v>0</v>
      </c>
      <c r="G7" s="355">
        <f>KLM!X7</f>
        <v>0</v>
      </c>
      <c r="H7" s="355">
        <f>PTA!X7</f>
        <v>0</v>
      </c>
      <c r="I7" s="355">
        <f>ALP!X7</f>
        <v>0</v>
      </c>
      <c r="J7" s="355">
        <f>KTM!X7</f>
        <v>0</v>
      </c>
      <c r="K7" s="355">
        <f>IDK!X7</f>
        <v>0</v>
      </c>
      <c r="L7" s="355">
        <f>EKM!X7</f>
        <v>0</v>
      </c>
      <c r="M7" s="355">
        <f>TSR!X7</f>
        <v>0</v>
      </c>
      <c r="N7" s="355">
        <f>PLKD!X7</f>
        <v>0</v>
      </c>
      <c r="O7" s="355">
        <f>MLPM!X7</f>
        <v>0</v>
      </c>
      <c r="P7" s="355">
        <f>KKD!X7</f>
        <v>0</v>
      </c>
      <c r="Q7" s="355">
        <f>WYND!X7</f>
        <v>0</v>
      </c>
      <c r="R7" s="355">
        <f>KNR!X7</f>
        <v>0</v>
      </c>
      <c r="S7" s="355">
        <f>KSRGD!X7</f>
        <v>0</v>
      </c>
      <c r="T7" s="355">
        <f>SHS!X7</f>
        <v>487.02578399999999</v>
      </c>
      <c r="U7" s="22">
        <f t="shared" ref="U7:U70" si="0">SUM(F7:T7)</f>
        <v>487.02578399999999</v>
      </c>
    </row>
    <row r="8" spans="1:21" ht="31.5">
      <c r="A8" s="498"/>
      <c r="B8" s="498"/>
      <c r="C8" s="498"/>
      <c r="D8" s="43">
        <v>3</v>
      </c>
      <c r="E8" s="43" t="s">
        <v>29</v>
      </c>
      <c r="F8" s="355">
        <f>TVM!X8</f>
        <v>92.711830000000006</v>
      </c>
      <c r="G8" s="355">
        <f>KLM!X8</f>
        <v>46.217239999999997</v>
      </c>
      <c r="H8" s="355">
        <f>PTA!X8</f>
        <v>14.565189999999999</v>
      </c>
      <c r="I8" s="355">
        <f>ALP!X8</f>
        <v>27.971250000000001</v>
      </c>
      <c r="J8" s="355">
        <f>KTM!X8</f>
        <v>43.770659999999999</v>
      </c>
      <c r="K8" s="355">
        <f>IDK!X8</f>
        <v>16.974599999999999</v>
      </c>
      <c r="L8" s="355">
        <f>EKM!X8</f>
        <v>42.141390000000001</v>
      </c>
      <c r="M8" s="355">
        <f>TSR!X8</f>
        <v>52.332630000000002</v>
      </c>
      <c r="N8" s="355">
        <f>PLKD!X8</f>
        <v>37.76182</v>
      </c>
      <c r="O8" s="355">
        <f>MLPM!X8</f>
        <v>73.197670000000002</v>
      </c>
      <c r="P8" s="355">
        <f>KKD!X8</f>
        <v>75.977850000000004</v>
      </c>
      <c r="Q8" s="355">
        <f>WYND!X8</f>
        <v>23.2057</v>
      </c>
      <c r="R8" s="355">
        <f>KNR!X8</f>
        <v>47.084110000000003</v>
      </c>
      <c r="S8" s="355">
        <f>KSRGD!X8</f>
        <v>19.389810000000001</v>
      </c>
      <c r="T8" s="355">
        <f>SHS!X8</f>
        <v>0</v>
      </c>
      <c r="U8" s="22">
        <f t="shared" si="0"/>
        <v>613.30175000000008</v>
      </c>
    </row>
    <row r="9" spans="1:21" ht="63">
      <c r="A9" s="498"/>
      <c r="B9" s="498"/>
      <c r="C9" s="498"/>
      <c r="D9" s="43">
        <v>4</v>
      </c>
      <c r="E9" s="43" t="s">
        <v>30</v>
      </c>
      <c r="F9" s="355">
        <f>TVM!X9</f>
        <v>365.2747</v>
      </c>
      <c r="G9" s="355">
        <f>KLM!X9</f>
        <v>207.60109999999997</v>
      </c>
      <c r="H9" s="355">
        <f>PTA!X9</f>
        <v>74.450099999999992</v>
      </c>
      <c r="I9" s="355">
        <f>ALP!X9</f>
        <v>125.6345</v>
      </c>
      <c r="J9" s="355">
        <f>KTM!X9</f>
        <v>177.62790000000001</v>
      </c>
      <c r="K9" s="355">
        <f>IDK!X9</f>
        <v>77.825500000000005</v>
      </c>
      <c r="L9" s="355">
        <f>EKM!X9</f>
        <v>226.73109999999997</v>
      </c>
      <c r="M9" s="355">
        <f>TSR!X9</f>
        <v>240.67469999999997</v>
      </c>
      <c r="N9" s="355">
        <f>PLKD!X9</f>
        <v>194.58629999999999</v>
      </c>
      <c r="O9" s="355">
        <f>MLPM!X9</f>
        <v>385.48829999999998</v>
      </c>
      <c r="P9" s="355">
        <f>KKD!X9</f>
        <v>335.16750000000002</v>
      </c>
      <c r="Q9" s="355">
        <f>WYND!X9</f>
        <v>90.245999999999995</v>
      </c>
      <c r="R9" s="355">
        <f>KNR!X9</f>
        <v>236.17439999999999</v>
      </c>
      <c r="S9" s="355">
        <f>KSRGD!X9</f>
        <v>93.826900000000009</v>
      </c>
      <c r="T9" s="355">
        <f>SHS!X9</f>
        <v>0</v>
      </c>
      <c r="U9" s="22">
        <f t="shared" si="0"/>
        <v>2831.3089999999997</v>
      </c>
    </row>
    <row r="10" spans="1:21" ht="47.25">
      <c r="A10" s="498"/>
      <c r="B10" s="498"/>
      <c r="C10" s="498"/>
      <c r="D10" s="43">
        <v>5</v>
      </c>
      <c r="E10" s="43" t="s">
        <v>31</v>
      </c>
      <c r="F10" s="355">
        <f>TVM!X10</f>
        <v>95.753</v>
      </c>
      <c r="G10" s="355">
        <f>KLM!X10</f>
        <v>47.683999999999997</v>
      </c>
      <c r="H10" s="355">
        <f>PTA!X10</f>
        <v>15.029</v>
      </c>
      <c r="I10" s="355">
        <f>ALP!X10</f>
        <v>28.875</v>
      </c>
      <c r="J10" s="355">
        <f>KTM!X10</f>
        <v>45.206000000000003</v>
      </c>
      <c r="K10" s="355">
        <f>IDK!X10</f>
        <v>17.36</v>
      </c>
      <c r="L10" s="355">
        <f>EKM!X10</f>
        <v>43.448999999999998</v>
      </c>
      <c r="M10" s="355">
        <f>TSR!X10</f>
        <v>54.033000000000001</v>
      </c>
      <c r="N10" s="355">
        <f>PLKD!X10</f>
        <v>38.962000000000003</v>
      </c>
      <c r="O10" s="355">
        <f>MLPM!X10</f>
        <v>74.697000000000003</v>
      </c>
      <c r="P10" s="355">
        <f>KKD!X10</f>
        <v>78.435000000000002</v>
      </c>
      <c r="Q10" s="355">
        <f>WYND!X10</f>
        <v>23.87</v>
      </c>
      <c r="R10" s="355">
        <f>KNR!X10</f>
        <v>48.600999999999999</v>
      </c>
      <c r="S10" s="355">
        <f>KSRGD!X10</f>
        <v>19.971</v>
      </c>
      <c r="T10" s="355">
        <f>SHS!X10</f>
        <v>0</v>
      </c>
      <c r="U10" s="22">
        <f t="shared" si="0"/>
        <v>631.92500000000007</v>
      </c>
    </row>
    <row r="11" spans="1:21" ht="47.25">
      <c r="A11" s="498"/>
      <c r="B11" s="498"/>
      <c r="C11" s="498"/>
      <c r="D11" s="43">
        <v>6</v>
      </c>
      <c r="E11" s="43" t="s">
        <v>32</v>
      </c>
      <c r="F11" s="355">
        <f>TVM!X11</f>
        <v>1.78</v>
      </c>
      <c r="G11" s="355">
        <f>KLM!X11</f>
        <v>3.4800000000000004</v>
      </c>
      <c r="H11" s="355">
        <f>PTA!X11</f>
        <v>0.83000000000000007</v>
      </c>
      <c r="I11" s="355">
        <f>ALP!X11</f>
        <v>1.31</v>
      </c>
      <c r="J11" s="355">
        <f>KTM!X11</f>
        <v>1.51</v>
      </c>
      <c r="K11" s="355">
        <f>IDK!X11</f>
        <v>1.34</v>
      </c>
      <c r="L11" s="355">
        <f>EKM!X11</f>
        <v>1.97</v>
      </c>
      <c r="M11" s="355">
        <f>TSR!X11</f>
        <v>1.98</v>
      </c>
      <c r="N11" s="355">
        <f>PLKD!X11</f>
        <v>2.9899999999999998</v>
      </c>
      <c r="O11" s="355">
        <f>MLPM!X11</f>
        <v>3.84</v>
      </c>
      <c r="P11" s="355">
        <f>KKD!X11</f>
        <v>2.0499999999999998</v>
      </c>
      <c r="Q11" s="355">
        <f>WYND!X11</f>
        <v>1.0699999999999998</v>
      </c>
      <c r="R11" s="355">
        <f>KNR!X11</f>
        <v>2.99</v>
      </c>
      <c r="S11" s="355">
        <f>KSRGD!X11</f>
        <v>1.4300000000000002</v>
      </c>
      <c r="T11" s="355">
        <f>SHS!X11</f>
        <v>0</v>
      </c>
      <c r="U11" s="22">
        <f t="shared" si="0"/>
        <v>28.57</v>
      </c>
    </row>
    <row r="12" spans="1:21" ht="31.5">
      <c r="A12" s="498"/>
      <c r="B12" s="498"/>
      <c r="C12" s="498"/>
      <c r="D12" s="43">
        <v>7</v>
      </c>
      <c r="E12" s="43" t="s">
        <v>33</v>
      </c>
      <c r="F12" s="355">
        <f>TVM!X12</f>
        <v>0</v>
      </c>
      <c r="G12" s="355">
        <f>KLM!X12</f>
        <v>0</v>
      </c>
      <c r="H12" s="355">
        <f>PTA!X12</f>
        <v>0</v>
      </c>
      <c r="I12" s="355">
        <f>ALP!X12</f>
        <v>0</v>
      </c>
      <c r="J12" s="355">
        <f>KTM!X12</f>
        <v>0</v>
      </c>
      <c r="K12" s="355">
        <f>IDK!X12</f>
        <v>0</v>
      </c>
      <c r="L12" s="355">
        <f>EKM!X12</f>
        <v>0</v>
      </c>
      <c r="M12" s="355">
        <f>TSR!X12</f>
        <v>0</v>
      </c>
      <c r="N12" s="355">
        <f>PLKD!X12</f>
        <v>0</v>
      </c>
      <c r="O12" s="355">
        <f>MLPM!X12</f>
        <v>0</v>
      </c>
      <c r="P12" s="355">
        <f>KKD!X12</f>
        <v>0</v>
      </c>
      <c r="Q12" s="355">
        <f>WYND!X12</f>
        <v>0</v>
      </c>
      <c r="R12" s="355">
        <f>KNR!X12</f>
        <v>0</v>
      </c>
      <c r="S12" s="355">
        <f>KSRGD!X12</f>
        <v>0</v>
      </c>
      <c r="T12" s="355">
        <f>SHS!X12</f>
        <v>0</v>
      </c>
      <c r="U12" s="22">
        <f t="shared" si="0"/>
        <v>0</v>
      </c>
    </row>
    <row r="13" spans="1:21">
      <c r="A13" s="498"/>
      <c r="B13" s="498"/>
      <c r="C13" s="498"/>
      <c r="D13" s="43">
        <v>8</v>
      </c>
      <c r="E13" s="43" t="s">
        <v>34</v>
      </c>
      <c r="F13" s="355">
        <f>TVM!X13</f>
        <v>0</v>
      </c>
      <c r="G13" s="355">
        <f>KLM!X13</f>
        <v>0</v>
      </c>
      <c r="H13" s="355">
        <f>PTA!X13</f>
        <v>0</v>
      </c>
      <c r="I13" s="355">
        <f>ALP!X13</f>
        <v>0</v>
      </c>
      <c r="J13" s="355">
        <f>KTM!X13</f>
        <v>0</v>
      </c>
      <c r="K13" s="355">
        <f>IDK!X13</f>
        <v>0</v>
      </c>
      <c r="L13" s="355">
        <f>EKM!X13</f>
        <v>0</v>
      </c>
      <c r="M13" s="355">
        <f>TSR!X13</f>
        <v>0</v>
      </c>
      <c r="N13" s="355">
        <f>PLKD!X13</f>
        <v>0</v>
      </c>
      <c r="O13" s="355">
        <f>MLPM!X13</f>
        <v>0</v>
      </c>
      <c r="P13" s="355">
        <f>KKD!X13</f>
        <v>0</v>
      </c>
      <c r="Q13" s="355">
        <f>WYND!X13</f>
        <v>0</v>
      </c>
      <c r="R13" s="355">
        <f>KNR!X13</f>
        <v>0</v>
      </c>
      <c r="S13" s="355">
        <f>KSRGD!X13</f>
        <v>0</v>
      </c>
      <c r="T13" s="355">
        <f>SHS!X13</f>
        <v>0</v>
      </c>
      <c r="U13" s="22">
        <f t="shared" si="0"/>
        <v>0</v>
      </c>
    </row>
    <row r="14" spans="1:21" ht="31.5">
      <c r="A14" s="498"/>
      <c r="B14" s="498"/>
      <c r="C14" s="498"/>
      <c r="D14" s="43">
        <v>9</v>
      </c>
      <c r="E14" s="43" t="s">
        <v>35</v>
      </c>
      <c r="F14" s="355">
        <f>TVM!X14</f>
        <v>7.0000000000000007E-2</v>
      </c>
      <c r="G14" s="355">
        <f>KLM!X14</f>
        <v>0.05</v>
      </c>
      <c r="H14" s="355">
        <f>PTA!X14</f>
        <v>0.02</v>
      </c>
      <c r="I14" s="355">
        <f>ALP!X14</f>
        <v>0.02</v>
      </c>
      <c r="J14" s="355">
        <f>KTM!X14</f>
        <v>0.01</v>
      </c>
      <c r="K14" s="355">
        <f>IDK!X14</f>
        <v>0.03</v>
      </c>
      <c r="L14" s="355">
        <f>EKM!X14</f>
        <v>0.03</v>
      </c>
      <c r="M14" s="355">
        <f>TSR!X14</f>
        <v>0.11</v>
      </c>
      <c r="N14" s="355">
        <f>PLKD!X14</f>
        <v>0.11</v>
      </c>
      <c r="O14" s="355">
        <f>MLPM!X14</f>
        <v>0.13</v>
      </c>
      <c r="P14" s="355">
        <f>KKD!X14</f>
        <v>0.13</v>
      </c>
      <c r="Q14" s="355">
        <f>WYND!X14</f>
        <v>0.01</v>
      </c>
      <c r="R14" s="355">
        <f>KNR!X14</f>
        <v>0.06</v>
      </c>
      <c r="S14" s="355">
        <f>KSRGD!X14</f>
        <v>7.0000000000000007E-2</v>
      </c>
      <c r="T14" s="355">
        <f>SHS!X14</f>
        <v>0</v>
      </c>
      <c r="U14" s="22">
        <f t="shared" si="0"/>
        <v>0.85000000000000009</v>
      </c>
    </row>
    <row r="15" spans="1:21" ht="31.5">
      <c r="A15" s="498"/>
      <c r="B15" s="498"/>
      <c r="C15" s="498"/>
      <c r="D15" s="43">
        <v>10</v>
      </c>
      <c r="E15" s="43" t="s">
        <v>36</v>
      </c>
      <c r="F15" s="355">
        <f>TVM!X15</f>
        <v>0</v>
      </c>
      <c r="G15" s="355">
        <f>KLM!X15</f>
        <v>0</v>
      </c>
      <c r="H15" s="355">
        <f>PTA!X15</f>
        <v>0</v>
      </c>
      <c r="I15" s="355">
        <f>ALP!X15</f>
        <v>0</v>
      </c>
      <c r="J15" s="355">
        <f>KTM!X15</f>
        <v>0</v>
      </c>
      <c r="K15" s="355">
        <f>IDK!X15</f>
        <v>0</v>
      </c>
      <c r="L15" s="355">
        <f>EKM!X15</f>
        <v>0</v>
      </c>
      <c r="M15" s="355">
        <f>TSR!X15</f>
        <v>0</v>
      </c>
      <c r="N15" s="355">
        <f>PLKD!X15</f>
        <v>0</v>
      </c>
      <c r="O15" s="355">
        <f>MLPM!X15</f>
        <v>0</v>
      </c>
      <c r="P15" s="355">
        <f>KKD!X15</f>
        <v>0</v>
      </c>
      <c r="Q15" s="355">
        <f>WYND!X15</f>
        <v>0</v>
      </c>
      <c r="R15" s="355">
        <f>KNR!X15</f>
        <v>0</v>
      </c>
      <c r="S15" s="355">
        <f>KSRGD!X15</f>
        <v>0</v>
      </c>
      <c r="T15" s="355">
        <f>SHS!X15</f>
        <v>0</v>
      </c>
      <c r="U15" s="22">
        <f t="shared" si="0"/>
        <v>0</v>
      </c>
    </row>
    <row r="16" spans="1:21">
      <c r="A16" s="498"/>
      <c r="B16" s="498"/>
      <c r="C16" s="498"/>
      <c r="D16" s="43">
        <v>11</v>
      </c>
      <c r="E16" s="43" t="s">
        <v>37</v>
      </c>
      <c r="F16" s="355">
        <f>TVM!X16</f>
        <v>0</v>
      </c>
      <c r="G16" s="355">
        <f>KLM!X16</f>
        <v>0</v>
      </c>
      <c r="H16" s="355">
        <f>PTA!X16</f>
        <v>0</v>
      </c>
      <c r="I16" s="355">
        <f>ALP!X16</f>
        <v>0</v>
      </c>
      <c r="J16" s="355">
        <f>KTM!X16</f>
        <v>0</v>
      </c>
      <c r="K16" s="355">
        <f>IDK!X16</f>
        <v>0</v>
      </c>
      <c r="L16" s="355">
        <f>EKM!X16</f>
        <v>0</v>
      </c>
      <c r="M16" s="355">
        <f>TSR!X16</f>
        <v>0</v>
      </c>
      <c r="N16" s="355">
        <f>PLKD!X16</f>
        <v>0</v>
      </c>
      <c r="O16" s="355">
        <f>MLPM!X16</f>
        <v>0</v>
      </c>
      <c r="P16" s="355">
        <f>KKD!X16</f>
        <v>0</v>
      </c>
      <c r="Q16" s="355">
        <f>WYND!X16</f>
        <v>0</v>
      </c>
      <c r="R16" s="355">
        <f>KNR!X16</f>
        <v>0</v>
      </c>
      <c r="S16" s="355">
        <f>KSRGD!X16</f>
        <v>0</v>
      </c>
      <c r="T16" s="355">
        <f>SHS!X16</f>
        <v>0</v>
      </c>
      <c r="U16" s="22">
        <f t="shared" si="0"/>
        <v>0</v>
      </c>
    </row>
    <row r="17" spans="1:21">
      <c r="A17" s="498"/>
      <c r="B17" s="498"/>
      <c r="C17" s="498"/>
      <c r="D17" s="43">
        <v>12</v>
      </c>
      <c r="E17" s="43" t="s">
        <v>38</v>
      </c>
      <c r="F17" s="355">
        <f>TVM!X17</f>
        <v>0</v>
      </c>
      <c r="G17" s="355">
        <f>KLM!X17</f>
        <v>0</v>
      </c>
      <c r="H17" s="355">
        <f>PTA!X17</f>
        <v>0</v>
      </c>
      <c r="I17" s="355">
        <f>ALP!X17</f>
        <v>0</v>
      </c>
      <c r="J17" s="355">
        <f>KTM!X17</f>
        <v>0</v>
      </c>
      <c r="K17" s="355">
        <f>IDK!X17</f>
        <v>0</v>
      </c>
      <c r="L17" s="355">
        <f>EKM!X17</f>
        <v>0</v>
      </c>
      <c r="M17" s="355">
        <f>TSR!X17</f>
        <v>0</v>
      </c>
      <c r="N17" s="355">
        <f>PLKD!X17</f>
        <v>0</v>
      </c>
      <c r="O17" s="355">
        <f>MLPM!X17</f>
        <v>0</v>
      </c>
      <c r="P17" s="355">
        <f>KKD!X17</f>
        <v>0</v>
      </c>
      <c r="Q17" s="355">
        <f>WYND!X17</f>
        <v>0</v>
      </c>
      <c r="R17" s="355">
        <f>KNR!X17</f>
        <v>0</v>
      </c>
      <c r="S17" s="355">
        <f>KSRGD!X17</f>
        <v>0</v>
      </c>
      <c r="T17" s="355">
        <f>SHS!X17</f>
        <v>0</v>
      </c>
      <c r="U17" s="22">
        <f t="shared" si="0"/>
        <v>0</v>
      </c>
    </row>
    <row r="18" spans="1:21" ht="31.5">
      <c r="A18" s="498"/>
      <c r="B18" s="498"/>
      <c r="C18" s="498"/>
      <c r="D18" s="43">
        <v>13</v>
      </c>
      <c r="E18" s="43" t="s">
        <v>39</v>
      </c>
      <c r="F18" s="355">
        <f>TVM!X18</f>
        <v>0</v>
      </c>
      <c r="G18" s="355">
        <f>KLM!X18</f>
        <v>0</v>
      </c>
      <c r="H18" s="355">
        <f>PTA!X18</f>
        <v>0</v>
      </c>
      <c r="I18" s="355">
        <f>ALP!X18</f>
        <v>0</v>
      </c>
      <c r="J18" s="355">
        <f>KTM!X18</f>
        <v>0</v>
      </c>
      <c r="K18" s="355">
        <f>IDK!X18</f>
        <v>0</v>
      </c>
      <c r="L18" s="355">
        <f>EKM!X18</f>
        <v>0</v>
      </c>
      <c r="M18" s="355">
        <f>TSR!X18</f>
        <v>0</v>
      </c>
      <c r="N18" s="355">
        <f>PLKD!X18</f>
        <v>0</v>
      </c>
      <c r="O18" s="355">
        <f>MLPM!X18</f>
        <v>0</v>
      </c>
      <c r="P18" s="355">
        <f>KKD!X18</f>
        <v>0</v>
      </c>
      <c r="Q18" s="355">
        <f>WYND!X18</f>
        <v>0</v>
      </c>
      <c r="R18" s="355">
        <f>KNR!X18</f>
        <v>0</v>
      </c>
      <c r="S18" s="355">
        <f>KSRGD!X18</f>
        <v>0</v>
      </c>
      <c r="T18" s="355">
        <f>SHS!X18</f>
        <v>0</v>
      </c>
      <c r="U18" s="22">
        <f t="shared" si="0"/>
        <v>0</v>
      </c>
    </row>
    <row r="19" spans="1:21" ht="31.5">
      <c r="A19" s="498"/>
      <c r="B19" s="498"/>
      <c r="C19" s="498"/>
      <c r="D19" s="43">
        <v>14</v>
      </c>
      <c r="E19" s="43" t="s">
        <v>40</v>
      </c>
      <c r="F19" s="355">
        <f>TVM!X19</f>
        <v>0</v>
      </c>
      <c r="G19" s="355">
        <f>KLM!X19</f>
        <v>0</v>
      </c>
      <c r="H19" s="355">
        <f>PTA!X19</f>
        <v>0</v>
      </c>
      <c r="I19" s="355">
        <f>ALP!X19</f>
        <v>0</v>
      </c>
      <c r="J19" s="355">
        <f>KTM!X19</f>
        <v>0</v>
      </c>
      <c r="K19" s="355">
        <f>IDK!X19</f>
        <v>0</v>
      </c>
      <c r="L19" s="355">
        <f>EKM!X19</f>
        <v>0</v>
      </c>
      <c r="M19" s="355">
        <f>TSR!X19</f>
        <v>0</v>
      </c>
      <c r="N19" s="355">
        <f>PLKD!X19</f>
        <v>0</v>
      </c>
      <c r="O19" s="355">
        <f>MLPM!X19</f>
        <v>0</v>
      </c>
      <c r="P19" s="355">
        <f>KKD!X19</f>
        <v>0</v>
      </c>
      <c r="Q19" s="355">
        <f>WYND!X19</f>
        <v>0</v>
      </c>
      <c r="R19" s="355">
        <f>KNR!X19</f>
        <v>0</v>
      </c>
      <c r="S19" s="355">
        <f>KSRGD!X19</f>
        <v>0</v>
      </c>
      <c r="T19" s="355">
        <f>SHS!X19</f>
        <v>0</v>
      </c>
      <c r="U19" s="22">
        <f t="shared" si="0"/>
        <v>0</v>
      </c>
    </row>
    <row r="20" spans="1:21">
      <c r="A20" s="498"/>
      <c r="B20" s="498"/>
      <c r="C20" s="498"/>
      <c r="D20" s="43">
        <v>15</v>
      </c>
      <c r="E20" s="43" t="s">
        <v>41</v>
      </c>
      <c r="F20" s="355">
        <f>TVM!X20</f>
        <v>0</v>
      </c>
      <c r="G20" s="355">
        <f>KLM!X20</f>
        <v>0</v>
      </c>
      <c r="H20" s="355">
        <f>PTA!X20</f>
        <v>0</v>
      </c>
      <c r="I20" s="355">
        <f>ALP!X20</f>
        <v>0</v>
      </c>
      <c r="J20" s="355">
        <f>KTM!X20</f>
        <v>0</v>
      </c>
      <c r="K20" s="355">
        <f>IDK!X20</f>
        <v>0</v>
      </c>
      <c r="L20" s="355">
        <f>EKM!X20</f>
        <v>0</v>
      </c>
      <c r="M20" s="355">
        <f>TSR!X20</f>
        <v>0</v>
      </c>
      <c r="N20" s="355">
        <f>PLKD!X20</f>
        <v>0</v>
      </c>
      <c r="O20" s="355">
        <f>MLPM!X20</f>
        <v>0</v>
      </c>
      <c r="P20" s="355">
        <f>KKD!X20</f>
        <v>0</v>
      </c>
      <c r="Q20" s="355">
        <f>WYND!X20</f>
        <v>0</v>
      </c>
      <c r="R20" s="355">
        <f>KNR!X20</f>
        <v>0</v>
      </c>
      <c r="S20" s="355">
        <f>KSRGD!X20</f>
        <v>0</v>
      </c>
      <c r="T20" s="355">
        <f>SHS!X20</f>
        <v>342.54086720000004</v>
      </c>
      <c r="U20" s="22">
        <f t="shared" si="0"/>
        <v>342.54086720000004</v>
      </c>
    </row>
    <row r="21" spans="1:21" ht="47.25">
      <c r="A21" s="498"/>
      <c r="B21" s="498"/>
      <c r="C21" s="498"/>
      <c r="D21" s="43">
        <v>16</v>
      </c>
      <c r="E21" s="43" t="s">
        <v>42</v>
      </c>
      <c r="F21" s="355">
        <f>TVM!X21</f>
        <v>0</v>
      </c>
      <c r="G21" s="355">
        <f>KLM!X21</f>
        <v>0</v>
      </c>
      <c r="H21" s="355">
        <f>PTA!X21</f>
        <v>0</v>
      </c>
      <c r="I21" s="355">
        <f>ALP!X21</f>
        <v>0</v>
      </c>
      <c r="J21" s="355">
        <f>KTM!X21</f>
        <v>0</v>
      </c>
      <c r="K21" s="355">
        <f>IDK!X21</f>
        <v>0</v>
      </c>
      <c r="L21" s="355">
        <f>EKM!X21</f>
        <v>0</v>
      </c>
      <c r="M21" s="355">
        <f>TSR!X21</f>
        <v>0</v>
      </c>
      <c r="N21" s="355">
        <f>PLKD!X21</f>
        <v>0</v>
      </c>
      <c r="O21" s="355">
        <f>MLPM!X21</f>
        <v>0</v>
      </c>
      <c r="P21" s="355">
        <f>KKD!X21</f>
        <v>0</v>
      </c>
      <c r="Q21" s="355">
        <f>WYND!X21</f>
        <v>0</v>
      </c>
      <c r="R21" s="355">
        <f>KNR!X21</f>
        <v>0</v>
      </c>
      <c r="S21" s="355">
        <f>KSRGD!X21</f>
        <v>0</v>
      </c>
      <c r="T21" s="355">
        <f>SHS!X21</f>
        <v>0</v>
      </c>
      <c r="U21" s="22">
        <f t="shared" si="0"/>
        <v>0</v>
      </c>
    </row>
    <row r="22" spans="1:21" ht="31.5">
      <c r="A22" s="498"/>
      <c r="B22" s="498"/>
      <c r="C22" s="498"/>
      <c r="D22" s="43">
        <v>17</v>
      </c>
      <c r="E22" s="43" t="s">
        <v>43</v>
      </c>
      <c r="F22" s="355">
        <f>TVM!X22</f>
        <v>0</v>
      </c>
      <c r="G22" s="355">
        <f>KLM!X22</f>
        <v>0</v>
      </c>
      <c r="H22" s="355">
        <f>PTA!X22</f>
        <v>0</v>
      </c>
      <c r="I22" s="355">
        <f>ALP!X22</f>
        <v>0</v>
      </c>
      <c r="J22" s="355">
        <f>KTM!X22</f>
        <v>0</v>
      </c>
      <c r="K22" s="355">
        <f>IDK!X22</f>
        <v>0</v>
      </c>
      <c r="L22" s="355">
        <f>EKM!X22</f>
        <v>0</v>
      </c>
      <c r="M22" s="355">
        <f>TSR!X22</f>
        <v>0</v>
      </c>
      <c r="N22" s="355">
        <f>PLKD!X22</f>
        <v>0</v>
      </c>
      <c r="O22" s="355">
        <f>MLPM!X22</f>
        <v>0</v>
      </c>
      <c r="P22" s="355">
        <f>KKD!X22</f>
        <v>0</v>
      </c>
      <c r="Q22" s="355">
        <f>WYND!X22</f>
        <v>0</v>
      </c>
      <c r="R22" s="355">
        <f>KNR!X22</f>
        <v>0</v>
      </c>
      <c r="S22" s="355">
        <f>KSRGD!X22</f>
        <v>0</v>
      </c>
      <c r="T22" s="355">
        <f>SHS!X22</f>
        <v>1520.05</v>
      </c>
      <c r="U22" s="22">
        <f t="shared" si="0"/>
        <v>1520.05</v>
      </c>
    </row>
    <row r="23" spans="1:21" ht="47.25">
      <c r="A23" s="498"/>
      <c r="B23" s="496"/>
      <c r="C23" s="496"/>
      <c r="D23" s="43">
        <v>18</v>
      </c>
      <c r="E23" s="43" t="s">
        <v>44</v>
      </c>
      <c r="F23" s="355">
        <f>TVM!X23</f>
        <v>0</v>
      </c>
      <c r="G23" s="355">
        <f>KLM!X23</f>
        <v>0</v>
      </c>
      <c r="H23" s="355">
        <f>PTA!X23</f>
        <v>0</v>
      </c>
      <c r="I23" s="355">
        <f>ALP!X23</f>
        <v>0</v>
      </c>
      <c r="J23" s="355">
        <f>KTM!X23</f>
        <v>0</v>
      </c>
      <c r="K23" s="355">
        <f>IDK!X23</f>
        <v>0</v>
      </c>
      <c r="L23" s="355">
        <f>EKM!X23</f>
        <v>0</v>
      </c>
      <c r="M23" s="355">
        <f>TSR!X23</f>
        <v>0</v>
      </c>
      <c r="N23" s="355">
        <f>PLKD!X23</f>
        <v>0</v>
      </c>
      <c r="O23" s="355">
        <f>MLPM!X23</f>
        <v>0</v>
      </c>
      <c r="P23" s="355">
        <f>KKD!X23</f>
        <v>0</v>
      </c>
      <c r="Q23" s="355">
        <f>WYND!X23</f>
        <v>0</v>
      </c>
      <c r="R23" s="355">
        <f>KNR!X23</f>
        <v>0</v>
      </c>
      <c r="S23" s="355">
        <f>KSRGD!X23</f>
        <v>0</v>
      </c>
      <c r="T23" s="355">
        <f>SHS!X23</f>
        <v>0</v>
      </c>
      <c r="U23" s="22">
        <f t="shared" si="0"/>
        <v>0</v>
      </c>
    </row>
    <row r="24" spans="1:21">
      <c r="A24" s="498"/>
      <c r="B24" s="497" t="s">
        <v>45</v>
      </c>
      <c r="C24" s="497" t="s">
        <v>46</v>
      </c>
      <c r="D24" s="43">
        <v>19</v>
      </c>
      <c r="E24" s="43" t="s">
        <v>46</v>
      </c>
      <c r="F24" s="355">
        <f>TVM!X24</f>
        <v>0</v>
      </c>
      <c r="G24" s="355">
        <f>KLM!X24</f>
        <v>0</v>
      </c>
      <c r="H24" s="355">
        <f>PTA!X24</f>
        <v>0</v>
      </c>
      <c r="I24" s="355">
        <f>ALP!X24</f>
        <v>0</v>
      </c>
      <c r="J24" s="355">
        <f>KTM!X24</f>
        <v>0</v>
      </c>
      <c r="K24" s="355">
        <f>IDK!X24</f>
        <v>0</v>
      </c>
      <c r="L24" s="355">
        <f>EKM!X24</f>
        <v>0</v>
      </c>
      <c r="M24" s="355">
        <f>TSR!X24</f>
        <v>0</v>
      </c>
      <c r="N24" s="355">
        <f>PLKD!X24</f>
        <v>0</v>
      </c>
      <c r="O24" s="355">
        <f>MLPM!X24</f>
        <v>0</v>
      </c>
      <c r="P24" s="355">
        <f>KKD!X24</f>
        <v>0</v>
      </c>
      <c r="Q24" s="355">
        <f>WYND!X24</f>
        <v>0</v>
      </c>
      <c r="R24" s="355">
        <f>KNR!X24</f>
        <v>0</v>
      </c>
      <c r="S24" s="355">
        <f>KSRGD!X24</f>
        <v>0</v>
      </c>
      <c r="T24" s="355">
        <f>SHS!X24</f>
        <v>0</v>
      </c>
      <c r="U24" s="22">
        <f t="shared" si="0"/>
        <v>0</v>
      </c>
    </row>
    <row r="25" spans="1:21" ht="78.75">
      <c r="A25" s="498"/>
      <c r="B25" s="496"/>
      <c r="C25" s="496"/>
      <c r="D25" s="43">
        <v>20</v>
      </c>
      <c r="E25" s="43" t="s">
        <v>47</v>
      </c>
      <c r="F25" s="355">
        <f>TVM!X25</f>
        <v>0</v>
      </c>
      <c r="G25" s="355">
        <f>KLM!X25</f>
        <v>0</v>
      </c>
      <c r="H25" s="355">
        <f>PTA!X25</f>
        <v>0</v>
      </c>
      <c r="I25" s="355">
        <f>ALP!X25</f>
        <v>0</v>
      </c>
      <c r="J25" s="355">
        <f>KTM!X25</f>
        <v>0</v>
      </c>
      <c r="K25" s="355">
        <f>IDK!X25</f>
        <v>0</v>
      </c>
      <c r="L25" s="355">
        <f>EKM!X25</f>
        <v>0</v>
      </c>
      <c r="M25" s="355">
        <f>TSR!X25</f>
        <v>0</v>
      </c>
      <c r="N25" s="355">
        <f>PLKD!X25</f>
        <v>0</v>
      </c>
      <c r="O25" s="355">
        <f>MLPM!X25</f>
        <v>0</v>
      </c>
      <c r="P25" s="355">
        <f>KKD!X25</f>
        <v>0</v>
      </c>
      <c r="Q25" s="355">
        <f>WYND!X25</f>
        <v>0</v>
      </c>
      <c r="R25" s="355">
        <f>KNR!X25</f>
        <v>0</v>
      </c>
      <c r="S25" s="355">
        <f>KSRGD!X25</f>
        <v>0</v>
      </c>
      <c r="T25" s="355">
        <f>SHS!X25</f>
        <v>0</v>
      </c>
      <c r="U25" s="22">
        <f t="shared" si="0"/>
        <v>0</v>
      </c>
    </row>
    <row r="26" spans="1:21" ht="47.25">
      <c r="A26" s="498"/>
      <c r="B26" s="497" t="s">
        <v>48</v>
      </c>
      <c r="C26" s="497" t="s">
        <v>49</v>
      </c>
      <c r="D26" s="43">
        <v>21</v>
      </c>
      <c r="E26" s="43" t="s">
        <v>50</v>
      </c>
      <c r="F26" s="355">
        <f>TVM!X26</f>
        <v>21.611999999999998</v>
      </c>
      <c r="G26" s="355">
        <f>KLM!X26</f>
        <v>19.236000000000001</v>
      </c>
      <c r="H26" s="355">
        <f>PTA!X26</f>
        <v>14.795999999999999</v>
      </c>
      <c r="I26" s="355">
        <f>ALP!X26</f>
        <v>18.108000000000001</v>
      </c>
      <c r="J26" s="355">
        <f>KTM!X26</f>
        <v>17.760000000000002</v>
      </c>
      <c r="K26" s="355">
        <f>IDK!X26</f>
        <v>20.207999999999998</v>
      </c>
      <c r="L26" s="355">
        <f>EKM!X26</f>
        <v>21.54</v>
      </c>
      <c r="M26" s="355">
        <f>TSR!X26</f>
        <v>20.916</v>
      </c>
      <c r="N26" s="355">
        <f>PLKD!X26</f>
        <v>29.448</v>
      </c>
      <c r="O26" s="355">
        <f>MLPM!X26</f>
        <v>31.236000000000001</v>
      </c>
      <c r="P26" s="355">
        <f>KKD!X26</f>
        <v>20.795999999999999</v>
      </c>
      <c r="Q26" s="355">
        <f>WYND!X26</f>
        <v>17.904</v>
      </c>
      <c r="R26" s="355">
        <f>KNR!X26</f>
        <v>21.576000000000001</v>
      </c>
      <c r="S26" s="355">
        <f>KSRGD!X26</f>
        <v>14.1</v>
      </c>
      <c r="T26" s="355">
        <f>SHS!X26</f>
        <v>0</v>
      </c>
      <c r="U26" s="22">
        <f t="shared" si="0"/>
        <v>289.23599999999999</v>
      </c>
    </row>
    <row r="27" spans="1:21" ht="63">
      <c r="A27" s="498"/>
      <c r="B27" s="498"/>
      <c r="C27" s="498"/>
      <c r="D27" s="43">
        <v>22</v>
      </c>
      <c r="E27" s="43" t="s">
        <v>52</v>
      </c>
      <c r="F27" s="355">
        <f>TVM!X27</f>
        <v>180.34370000000001</v>
      </c>
      <c r="G27" s="355">
        <f>KLM!X27</f>
        <v>143.87109999999998</v>
      </c>
      <c r="H27" s="355">
        <f>PTA!X27</f>
        <v>84.59057</v>
      </c>
      <c r="I27" s="355">
        <f>ALP!X27</f>
        <v>151.59939</v>
      </c>
      <c r="J27" s="355">
        <f>KTM!X27</f>
        <v>144.529</v>
      </c>
      <c r="K27" s="355">
        <f>IDK!X27</f>
        <v>85.830099999999987</v>
      </c>
      <c r="L27" s="355">
        <f>EKM!X27</f>
        <v>304.20549999999997</v>
      </c>
      <c r="M27" s="355">
        <f>TSR!X27</f>
        <v>245.34610000000001</v>
      </c>
      <c r="N27" s="355">
        <f>PLKD!X27</f>
        <v>149.89359999999999</v>
      </c>
      <c r="O27" s="355">
        <f>MLPM!X27</f>
        <v>287.21099999999996</v>
      </c>
      <c r="P27" s="355">
        <f>KKD!X27</f>
        <v>284.36649999999997</v>
      </c>
      <c r="Q27" s="355">
        <f>WYND!X27</f>
        <v>147.87300000000002</v>
      </c>
      <c r="R27" s="355">
        <f>KNR!X27</f>
        <v>226.83</v>
      </c>
      <c r="S27" s="355">
        <f>KSRGD!X27</f>
        <v>48.301700000000004</v>
      </c>
      <c r="T27" s="355">
        <f>SHS!X27</f>
        <v>0</v>
      </c>
      <c r="U27" s="22">
        <f t="shared" si="0"/>
        <v>2484.79126</v>
      </c>
    </row>
    <row r="28" spans="1:21" ht="31.5">
      <c r="A28" s="498"/>
      <c r="B28" s="498"/>
      <c r="C28" s="498"/>
      <c r="D28" s="43">
        <v>23</v>
      </c>
      <c r="E28" s="43" t="s">
        <v>55</v>
      </c>
      <c r="F28" s="355">
        <f>TVM!X28</f>
        <v>0</v>
      </c>
      <c r="G28" s="355">
        <f>KLM!X28</f>
        <v>0</v>
      </c>
      <c r="H28" s="355">
        <f>PTA!X28</f>
        <v>0</v>
      </c>
      <c r="I28" s="355">
        <f>ALP!X28</f>
        <v>0</v>
      </c>
      <c r="J28" s="355">
        <f>KTM!X28</f>
        <v>0</v>
      </c>
      <c r="K28" s="355">
        <f>IDK!X28</f>
        <v>0</v>
      </c>
      <c r="L28" s="355">
        <f>EKM!X28</f>
        <v>0</v>
      </c>
      <c r="M28" s="355">
        <f>TSR!X28</f>
        <v>0</v>
      </c>
      <c r="N28" s="355">
        <f>PLKD!X28</f>
        <v>0</v>
      </c>
      <c r="O28" s="355">
        <f>MLPM!X28</f>
        <v>0</v>
      </c>
      <c r="P28" s="355">
        <f>KKD!X28</f>
        <v>0</v>
      </c>
      <c r="Q28" s="355">
        <f>WYND!X28</f>
        <v>0</v>
      </c>
      <c r="R28" s="355">
        <f>KNR!X28</f>
        <v>0</v>
      </c>
      <c r="S28" s="355">
        <f>KSRGD!X28</f>
        <v>0</v>
      </c>
      <c r="T28" s="355">
        <f>SHS!X28</f>
        <v>0</v>
      </c>
      <c r="U28" s="22">
        <f t="shared" si="0"/>
        <v>0</v>
      </c>
    </row>
    <row r="29" spans="1:21" ht="31.5">
      <c r="A29" s="498"/>
      <c r="B29" s="498"/>
      <c r="C29" s="498"/>
      <c r="D29" s="43">
        <v>24</v>
      </c>
      <c r="E29" s="43" t="s">
        <v>56</v>
      </c>
      <c r="F29" s="355">
        <f>TVM!X29</f>
        <v>6.8</v>
      </c>
      <c r="G29" s="355">
        <f>KLM!X29</f>
        <v>4.3499999999999996</v>
      </c>
      <c r="H29" s="355">
        <f>PTA!X29</f>
        <v>2.15</v>
      </c>
      <c r="I29" s="355">
        <f>ALP!X29</f>
        <v>4.4000000000000004</v>
      </c>
      <c r="J29" s="355">
        <f>KTM!X29</f>
        <v>4.3</v>
      </c>
      <c r="K29" s="355">
        <f>IDK!X29</f>
        <v>1.05</v>
      </c>
      <c r="L29" s="355">
        <f>EKM!X29</f>
        <v>4.05</v>
      </c>
      <c r="M29" s="355">
        <f>TSR!X29</f>
        <v>4.4000000000000004</v>
      </c>
      <c r="N29" s="355">
        <f>PLKD!X29</f>
        <v>3.35</v>
      </c>
      <c r="O29" s="355">
        <f>MLPM!X29</f>
        <v>3.7</v>
      </c>
      <c r="P29" s="355">
        <f>KKD!X29</f>
        <v>4.5999999999999996</v>
      </c>
      <c r="Q29" s="355">
        <f>WYND!X29</f>
        <v>2.15</v>
      </c>
      <c r="R29" s="355">
        <f>KNR!X29</f>
        <v>4.55</v>
      </c>
      <c r="S29" s="355">
        <f>KSRGD!X29</f>
        <v>2.35</v>
      </c>
      <c r="T29" s="355">
        <f>SHS!X29</f>
        <v>317.48510999999996</v>
      </c>
      <c r="U29" s="22">
        <f t="shared" si="0"/>
        <v>369.68510999999995</v>
      </c>
    </row>
    <row r="30" spans="1:21">
      <c r="A30" s="498"/>
      <c r="B30" s="498"/>
      <c r="C30" s="498"/>
      <c r="D30" s="43">
        <v>25</v>
      </c>
      <c r="E30" s="43" t="s">
        <v>57</v>
      </c>
      <c r="F30" s="355">
        <f>TVM!X30</f>
        <v>0.6</v>
      </c>
      <c r="G30" s="355">
        <f>KLM!X30</f>
        <v>0.59399999999999997</v>
      </c>
      <c r="H30" s="355">
        <f>PTA!X30</f>
        <v>0.58699999999999997</v>
      </c>
      <c r="I30" s="355">
        <f>ALP!X30</f>
        <v>0.6</v>
      </c>
      <c r="J30" s="355">
        <f>KTM!X30</f>
        <v>0.59399999999999997</v>
      </c>
      <c r="K30" s="355">
        <f>IDK!X30</f>
        <v>0.58699999999999997</v>
      </c>
      <c r="L30" s="355">
        <f>EKM!X30</f>
        <v>0.6</v>
      </c>
      <c r="M30" s="355">
        <f>TSR!X30</f>
        <v>0.59399999999999997</v>
      </c>
      <c r="N30" s="355">
        <f>PLKD!X30</f>
        <v>0.59899999999999998</v>
      </c>
      <c r="O30" s="355">
        <f>MLPM!X30</f>
        <v>0.58799999999999997</v>
      </c>
      <c r="P30" s="355">
        <f>KKD!X30</f>
        <v>0.59399999999999997</v>
      </c>
      <c r="Q30" s="355">
        <f>WYND!X30</f>
        <v>0.6</v>
      </c>
      <c r="R30" s="355">
        <f>KNR!X30</f>
        <v>0.59399999999999997</v>
      </c>
      <c r="S30" s="355">
        <f>KSRGD!X30</f>
        <v>0.59899999999999998</v>
      </c>
      <c r="T30" s="355">
        <f>SHS!X30</f>
        <v>0</v>
      </c>
      <c r="U30" s="22">
        <f t="shared" si="0"/>
        <v>8.33</v>
      </c>
    </row>
    <row r="31" spans="1:21">
      <c r="A31" s="498"/>
      <c r="B31" s="498"/>
      <c r="C31" s="498"/>
      <c r="D31" s="43">
        <v>26</v>
      </c>
      <c r="E31" s="43" t="s">
        <v>58</v>
      </c>
      <c r="F31" s="355">
        <f>TVM!X31</f>
        <v>0</v>
      </c>
      <c r="G31" s="355">
        <f>KLM!X31</f>
        <v>0</v>
      </c>
      <c r="H31" s="355">
        <f>PTA!X31</f>
        <v>0</v>
      </c>
      <c r="I31" s="355">
        <f>ALP!X31</f>
        <v>0</v>
      </c>
      <c r="J31" s="355">
        <f>KTM!X31</f>
        <v>0</v>
      </c>
      <c r="K31" s="355">
        <f>IDK!X31</f>
        <v>0</v>
      </c>
      <c r="L31" s="355">
        <f>EKM!X31</f>
        <v>0</v>
      </c>
      <c r="M31" s="355">
        <f>TSR!X31</f>
        <v>0</v>
      </c>
      <c r="N31" s="355">
        <f>PLKD!X31</f>
        <v>0</v>
      </c>
      <c r="O31" s="355">
        <f>MLPM!X31</f>
        <v>0</v>
      </c>
      <c r="P31" s="355">
        <f>KKD!X31</f>
        <v>0</v>
      </c>
      <c r="Q31" s="355">
        <f>WYND!X31</f>
        <v>0</v>
      </c>
      <c r="R31" s="355">
        <f>KNR!X31</f>
        <v>0</v>
      </c>
      <c r="S31" s="355">
        <f>KSRGD!X31</f>
        <v>0</v>
      </c>
      <c r="T31" s="355">
        <f>SHS!X31</f>
        <v>92.597659999999991</v>
      </c>
      <c r="U31" s="22">
        <f t="shared" si="0"/>
        <v>92.597659999999991</v>
      </c>
    </row>
    <row r="32" spans="1:21">
      <c r="A32" s="498"/>
      <c r="B32" s="498"/>
      <c r="C32" s="498"/>
      <c r="D32" s="43">
        <v>27</v>
      </c>
      <c r="E32" s="43" t="s">
        <v>59</v>
      </c>
      <c r="F32" s="355">
        <f>TVM!X32</f>
        <v>3</v>
      </c>
      <c r="G32" s="355">
        <f>KLM!X32</f>
        <v>1</v>
      </c>
      <c r="H32" s="355">
        <f>PTA!X32</f>
        <v>2</v>
      </c>
      <c r="I32" s="355">
        <f>ALP!X32</f>
        <v>2</v>
      </c>
      <c r="J32" s="355">
        <f>KTM!X32</f>
        <v>3</v>
      </c>
      <c r="K32" s="355">
        <f>IDK!X32</f>
        <v>1</v>
      </c>
      <c r="L32" s="355">
        <f>EKM!X32</f>
        <v>2</v>
      </c>
      <c r="M32" s="355">
        <f>TSR!X32</f>
        <v>2</v>
      </c>
      <c r="N32" s="355">
        <f>PLKD!X32</f>
        <v>4</v>
      </c>
      <c r="O32" s="355">
        <f>MLPM!X32</f>
        <v>3</v>
      </c>
      <c r="P32" s="355">
        <f>KKD!X32</f>
        <v>2</v>
      </c>
      <c r="Q32" s="355">
        <f>WYND!X32</f>
        <v>2</v>
      </c>
      <c r="R32" s="355">
        <f>KNR!X32</f>
        <v>1</v>
      </c>
      <c r="S32" s="355">
        <f>KSRGD!X32</f>
        <v>1</v>
      </c>
      <c r="T32" s="355">
        <f>SHS!X32</f>
        <v>703.45327999999995</v>
      </c>
      <c r="U32" s="22">
        <f t="shared" si="0"/>
        <v>732.45327999999995</v>
      </c>
    </row>
    <row r="33" spans="1:21" ht="56.25" customHeight="1">
      <c r="A33" s="498"/>
      <c r="B33" s="498"/>
      <c r="C33" s="498"/>
      <c r="D33" s="43">
        <v>28</v>
      </c>
      <c r="E33" s="43" t="s">
        <v>30</v>
      </c>
      <c r="F33" s="355">
        <f>TVM!X33</f>
        <v>17.817599999999999</v>
      </c>
      <c r="G33" s="355">
        <f>KLM!X33</f>
        <v>9.7674000000000003</v>
      </c>
      <c r="H33" s="355">
        <f>PTA!X33</f>
        <v>5.8752000000000004</v>
      </c>
      <c r="I33" s="355">
        <f>ALP!X33</f>
        <v>6.2375999999999996</v>
      </c>
      <c r="J33" s="355">
        <f>KTM!X33</f>
        <v>9.15</v>
      </c>
      <c r="K33" s="355">
        <f>IDK!X33</f>
        <v>4.4711999999999996</v>
      </c>
      <c r="L33" s="355">
        <f>EKM!X33</f>
        <v>16.479600000000001</v>
      </c>
      <c r="M33" s="355">
        <f>TSR!X33</f>
        <v>16.065000000000001</v>
      </c>
      <c r="N33" s="355">
        <f>PLKD!X33</f>
        <v>14.150399999999999</v>
      </c>
      <c r="O33" s="355">
        <f>MLPM!X33</f>
        <v>41.143799999999999</v>
      </c>
      <c r="P33" s="355">
        <f>KKD!X33</f>
        <v>22.030799999999999</v>
      </c>
      <c r="Q33" s="355">
        <f>WYND!X33</f>
        <v>5.9513999999999996</v>
      </c>
      <c r="R33" s="355">
        <f>KNR!X33</f>
        <v>16.018799999999999</v>
      </c>
      <c r="S33" s="355">
        <f>KSRGD!X33</f>
        <v>8.1053999999999995</v>
      </c>
      <c r="T33" s="355">
        <f>SHS!X33</f>
        <v>0</v>
      </c>
      <c r="U33" s="22">
        <f t="shared" si="0"/>
        <v>193.26420000000002</v>
      </c>
    </row>
    <row r="34" spans="1:21" ht="66.75" customHeight="1">
      <c r="A34" s="498"/>
      <c r="B34" s="498"/>
      <c r="C34" s="498"/>
      <c r="D34" s="43">
        <v>29</v>
      </c>
      <c r="E34" s="43" t="s">
        <v>31</v>
      </c>
      <c r="F34" s="355">
        <f>TVM!X34</f>
        <v>31.180799999999994</v>
      </c>
      <c r="G34" s="355">
        <f>KLM!X34</f>
        <v>17.092949999999998</v>
      </c>
      <c r="H34" s="355">
        <f>PTA!X34</f>
        <v>10.281599999999999</v>
      </c>
      <c r="I34" s="355">
        <f>ALP!X34</f>
        <v>10.915800000000001</v>
      </c>
      <c r="J34" s="355">
        <f>KTM!X34</f>
        <v>16.012499999999999</v>
      </c>
      <c r="K34" s="355">
        <f>IDK!X34</f>
        <v>7.8246000000000002</v>
      </c>
      <c r="L34" s="355">
        <f>EKM!X34</f>
        <v>28.839300000000001</v>
      </c>
      <c r="M34" s="355">
        <f>TSR!X34</f>
        <v>28.11375</v>
      </c>
      <c r="N34" s="355">
        <f>PLKD!X34</f>
        <v>24.763200000000001</v>
      </c>
      <c r="O34" s="355">
        <f>MLPM!X34</f>
        <v>72.001649999999998</v>
      </c>
      <c r="P34" s="355">
        <f>KKD!X34</f>
        <v>38.553899999999999</v>
      </c>
      <c r="Q34" s="355">
        <f>WYND!X34</f>
        <v>10.414949999999999</v>
      </c>
      <c r="R34" s="355">
        <f>KNR!X34</f>
        <v>28.032900000000001</v>
      </c>
      <c r="S34" s="355">
        <f>KSRGD!X34</f>
        <v>14.18445</v>
      </c>
      <c r="T34" s="355">
        <f>SHS!X34</f>
        <v>0</v>
      </c>
      <c r="U34" s="22">
        <f t="shared" si="0"/>
        <v>338.21235000000001</v>
      </c>
    </row>
    <row r="35" spans="1:21" ht="31.5">
      <c r="A35" s="498"/>
      <c r="B35" s="498"/>
      <c r="C35" s="498"/>
      <c r="D35" s="43">
        <v>30</v>
      </c>
      <c r="E35" s="43" t="s">
        <v>60</v>
      </c>
      <c r="F35" s="355">
        <f>TVM!X35</f>
        <v>0</v>
      </c>
      <c r="G35" s="355">
        <f>KLM!X35</f>
        <v>0</v>
      </c>
      <c r="H35" s="355">
        <f>PTA!X35</f>
        <v>0</v>
      </c>
      <c r="I35" s="355">
        <f>ALP!X35</f>
        <v>0</v>
      </c>
      <c r="J35" s="355">
        <f>KTM!X35</f>
        <v>0</v>
      </c>
      <c r="K35" s="355">
        <f>IDK!X35</f>
        <v>0</v>
      </c>
      <c r="L35" s="355">
        <f>EKM!X35</f>
        <v>0</v>
      </c>
      <c r="M35" s="355">
        <f>TSR!X35</f>
        <v>0</v>
      </c>
      <c r="N35" s="355">
        <f>PLKD!X35</f>
        <v>0</v>
      </c>
      <c r="O35" s="355">
        <f>MLPM!X35</f>
        <v>0</v>
      </c>
      <c r="P35" s="355">
        <f>KKD!X35</f>
        <v>0</v>
      </c>
      <c r="Q35" s="355">
        <f>WYND!X35</f>
        <v>0</v>
      </c>
      <c r="R35" s="355">
        <f>KNR!X35</f>
        <v>0</v>
      </c>
      <c r="S35" s="355">
        <f>KSRGD!X35</f>
        <v>0</v>
      </c>
      <c r="T35" s="355">
        <f>SHS!X35</f>
        <v>52.94</v>
      </c>
      <c r="U35" s="22">
        <f t="shared" si="0"/>
        <v>52.94</v>
      </c>
    </row>
    <row r="36" spans="1:21" ht="47.25">
      <c r="A36" s="498"/>
      <c r="B36" s="496"/>
      <c r="C36" s="496"/>
      <c r="D36" s="43">
        <v>31</v>
      </c>
      <c r="E36" s="43" t="s">
        <v>44</v>
      </c>
      <c r="F36" s="355">
        <f>TVM!X36</f>
        <v>0</v>
      </c>
      <c r="G36" s="355">
        <f>KLM!X36</f>
        <v>0</v>
      </c>
      <c r="H36" s="355">
        <f>PTA!X36</f>
        <v>0</v>
      </c>
      <c r="I36" s="355">
        <f>ALP!X36</f>
        <v>0</v>
      </c>
      <c r="J36" s="355">
        <f>KTM!X36</f>
        <v>0</v>
      </c>
      <c r="K36" s="355">
        <f>IDK!X36</f>
        <v>0</v>
      </c>
      <c r="L36" s="355">
        <f>EKM!X36</f>
        <v>0</v>
      </c>
      <c r="M36" s="355">
        <f>TSR!X36</f>
        <v>0</v>
      </c>
      <c r="N36" s="355">
        <f>PLKD!X36</f>
        <v>0</v>
      </c>
      <c r="O36" s="355">
        <f>MLPM!X36</f>
        <v>0</v>
      </c>
      <c r="P36" s="355">
        <f>KKD!X36</f>
        <v>0</v>
      </c>
      <c r="Q36" s="355">
        <f>WYND!X36</f>
        <v>0</v>
      </c>
      <c r="R36" s="355">
        <f>KNR!X36</f>
        <v>0</v>
      </c>
      <c r="S36" s="355">
        <f>KSRGD!X36</f>
        <v>0</v>
      </c>
      <c r="T36" s="355">
        <f>SHS!X36</f>
        <v>0</v>
      </c>
      <c r="U36" s="22">
        <f t="shared" si="0"/>
        <v>0</v>
      </c>
    </row>
    <row r="37" spans="1:21" ht="45.75" customHeight="1">
      <c r="A37" s="498"/>
      <c r="B37" s="497" t="s">
        <v>61</v>
      </c>
      <c r="C37" s="497" t="s">
        <v>62</v>
      </c>
      <c r="D37" s="43">
        <v>32</v>
      </c>
      <c r="E37" s="43" t="s">
        <v>63</v>
      </c>
      <c r="F37" s="355">
        <f>TVM!X37</f>
        <v>18.723700000000001</v>
      </c>
      <c r="G37" s="355">
        <f>KLM!X37</f>
        <v>11.9872</v>
      </c>
      <c r="H37" s="355">
        <f>PTA!X37</f>
        <v>9.1953999999999994</v>
      </c>
      <c r="I37" s="355">
        <f>ALP!X37</f>
        <v>12.2094</v>
      </c>
      <c r="J37" s="355">
        <f>KTM!X37</f>
        <v>12.225899999999999</v>
      </c>
      <c r="K37" s="355">
        <f>IDK!X37</f>
        <v>9.6976999999999993</v>
      </c>
      <c r="L37" s="355">
        <f>EKM!X37</f>
        <v>20.4725</v>
      </c>
      <c r="M37" s="355">
        <f>TSR!X37</f>
        <v>16.3416</v>
      </c>
      <c r="N37" s="355">
        <f>PLKD!X37</f>
        <v>15.331300000000001</v>
      </c>
      <c r="O37" s="355">
        <f>MLPM!X37</f>
        <v>17.453299999999999</v>
      </c>
      <c r="P37" s="355">
        <f>KKD!X37</f>
        <v>17.689800000000002</v>
      </c>
      <c r="Q37" s="355">
        <f>WYND!X37</f>
        <v>7.9215</v>
      </c>
      <c r="R37" s="355">
        <f>KNR!X37</f>
        <v>15.990600000000001</v>
      </c>
      <c r="S37" s="355">
        <f>KSRGD!X37</f>
        <v>9.2723999999999993</v>
      </c>
      <c r="T37" s="355">
        <f>SHS!X37</f>
        <v>42.42</v>
      </c>
      <c r="U37" s="22">
        <f t="shared" si="0"/>
        <v>236.9323</v>
      </c>
    </row>
    <row r="38" spans="1:21" ht="35.25" customHeight="1">
      <c r="A38" s="498"/>
      <c r="B38" s="498"/>
      <c r="C38" s="498"/>
      <c r="D38" s="43">
        <v>33</v>
      </c>
      <c r="E38" s="43" t="s">
        <v>64</v>
      </c>
      <c r="F38" s="355">
        <f>TVM!X38</f>
        <v>0</v>
      </c>
      <c r="G38" s="355">
        <f>KLM!X38</f>
        <v>0</v>
      </c>
      <c r="H38" s="355">
        <f>PTA!X38</f>
        <v>0</v>
      </c>
      <c r="I38" s="355">
        <f>ALP!X38</f>
        <v>0</v>
      </c>
      <c r="J38" s="355">
        <f>KTM!X38</f>
        <v>0</v>
      </c>
      <c r="K38" s="355">
        <f>IDK!X38</f>
        <v>0</v>
      </c>
      <c r="L38" s="355">
        <f>EKM!X38</f>
        <v>0</v>
      </c>
      <c r="M38" s="355">
        <f>TSR!X38</f>
        <v>0</v>
      </c>
      <c r="N38" s="355">
        <f>PLKD!X38</f>
        <v>0</v>
      </c>
      <c r="O38" s="355">
        <f>MLPM!X38</f>
        <v>0</v>
      </c>
      <c r="P38" s="355">
        <f>KKD!X38</f>
        <v>0</v>
      </c>
      <c r="Q38" s="355">
        <f>WYND!X38</f>
        <v>0</v>
      </c>
      <c r="R38" s="355">
        <f>KNR!X38</f>
        <v>0</v>
      </c>
      <c r="S38" s="355">
        <f>KSRGD!X38</f>
        <v>0</v>
      </c>
      <c r="T38" s="355">
        <f>SHS!X38</f>
        <v>202.99</v>
      </c>
      <c r="U38" s="22">
        <f t="shared" si="0"/>
        <v>202.99</v>
      </c>
    </row>
    <row r="39" spans="1:21" ht="39.75" customHeight="1">
      <c r="A39" s="498"/>
      <c r="B39" s="496"/>
      <c r="C39" s="496"/>
      <c r="D39" s="43">
        <v>34</v>
      </c>
      <c r="E39" s="43" t="s">
        <v>65</v>
      </c>
      <c r="F39" s="355">
        <f>TVM!X39</f>
        <v>0</v>
      </c>
      <c r="G39" s="355">
        <f>KLM!X39</f>
        <v>0</v>
      </c>
      <c r="H39" s="355">
        <f>PTA!X39</f>
        <v>0</v>
      </c>
      <c r="I39" s="355">
        <f>ALP!X39</f>
        <v>0</v>
      </c>
      <c r="J39" s="355">
        <f>KTM!X39</f>
        <v>0</v>
      </c>
      <c r="K39" s="355">
        <f>IDK!X39</f>
        <v>0</v>
      </c>
      <c r="L39" s="355">
        <f>EKM!X39</f>
        <v>0</v>
      </c>
      <c r="M39" s="355">
        <f>TSR!X39</f>
        <v>0</v>
      </c>
      <c r="N39" s="355">
        <f>PLKD!X39</f>
        <v>0</v>
      </c>
      <c r="O39" s="355">
        <f>MLPM!X39</f>
        <v>0</v>
      </c>
      <c r="P39" s="355">
        <f>KKD!X39</f>
        <v>0</v>
      </c>
      <c r="Q39" s="355">
        <f>WYND!X39</f>
        <v>0</v>
      </c>
      <c r="R39" s="355">
        <f>KNR!X39</f>
        <v>0</v>
      </c>
      <c r="S39" s="355">
        <f>KSRGD!X39</f>
        <v>0</v>
      </c>
      <c r="T39" s="355">
        <f>SHS!X39</f>
        <v>112.49987999999999</v>
      </c>
      <c r="U39" s="22">
        <f t="shared" si="0"/>
        <v>112.49987999999999</v>
      </c>
    </row>
    <row r="40" spans="1:21" ht="47.25">
      <c r="A40" s="498"/>
      <c r="B40" s="497" t="s">
        <v>66</v>
      </c>
      <c r="C40" s="497" t="s">
        <v>67</v>
      </c>
      <c r="D40" s="43">
        <v>35</v>
      </c>
      <c r="E40" s="43" t="s">
        <v>68</v>
      </c>
      <c r="F40" s="355">
        <f>TVM!X40</f>
        <v>1.37</v>
      </c>
      <c r="G40" s="355">
        <f>KLM!X40</f>
        <v>1.71</v>
      </c>
      <c r="H40" s="355">
        <f>PTA!X40</f>
        <v>3.33</v>
      </c>
      <c r="I40" s="355">
        <f>ALP!X40</f>
        <v>2.33</v>
      </c>
      <c r="J40" s="355">
        <f>KTM!X40</f>
        <v>1.37</v>
      </c>
      <c r="K40" s="355">
        <f>IDK!X40</f>
        <v>2.74</v>
      </c>
      <c r="L40" s="355">
        <f>EKM!X40</f>
        <v>1.71</v>
      </c>
      <c r="M40" s="355">
        <f>TSR!X40</f>
        <v>1.71</v>
      </c>
      <c r="N40" s="355">
        <f>PLKD!X40</f>
        <v>5.0999999999999996</v>
      </c>
      <c r="O40" s="355">
        <f>MLPM!X40</f>
        <v>5.0699999999999994</v>
      </c>
      <c r="P40" s="355">
        <f>KKD!X40</f>
        <v>1.71</v>
      </c>
      <c r="Q40" s="355">
        <f>WYND!X40</f>
        <v>1.71</v>
      </c>
      <c r="R40" s="355">
        <f>KNR!X40</f>
        <v>3.8899999999999997</v>
      </c>
      <c r="S40" s="355">
        <f>KSRGD!X40</f>
        <v>3.08</v>
      </c>
      <c r="T40" s="355">
        <f>SHS!X40</f>
        <v>0</v>
      </c>
      <c r="U40" s="22">
        <f t="shared" si="0"/>
        <v>36.83</v>
      </c>
    </row>
    <row r="41" spans="1:21" ht="63">
      <c r="A41" s="498"/>
      <c r="B41" s="498"/>
      <c r="C41" s="498"/>
      <c r="D41" s="43">
        <v>36</v>
      </c>
      <c r="E41" s="43" t="s">
        <v>70</v>
      </c>
      <c r="F41" s="355">
        <f>TVM!X41</f>
        <v>0</v>
      </c>
      <c r="G41" s="355">
        <f>KLM!X41</f>
        <v>0</v>
      </c>
      <c r="H41" s="355">
        <f>PTA!X41</f>
        <v>0</v>
      </c>
      <c r="I41" s="355">
        <f>ALP!X41</f>
        <v>0</v>
      </c>
      <c r="J41" s="355">
        <f>KTM!X41</f>
        <v>0</v>
      </c>
      <c r="K41" s="355">
        <f>IDK!X41</f>
        <v>0</v>
      </c>
      <c r="L41" s="355">
        <f>EKM!X41</f>
        <v>0</v>
      </c>
      <c r="M41" s="355">
        <f>TSR!X41</f>
        <v>0</v>
      </c>
      <c r="N41" s="355">
        <f>PLKD!X41</f>
        <v>0</v>
      </c>
      <c r="O41" s="355">
        <f>MLPM!X41</f>
        <v>0</v>
      </c>
      <c r="P41" s="355">
        <f>KKD!X41</f>
        <v>0</v>
      </c>
      <c r="Q41" s="355">
        <f>WYND!X41</f>
        <v>0</v>
      </c>
      <c r="R41" s="355">
        <f>KNR!X41</f>
        <v>0</v>
      </c>
      <c r="S41" s="355">
        <f>KSRGD!X41</f>
        <v>0</v>
      </c>
      <c r="T41" s="355">
        <f>SHS!X41</f>
        <v>84.59</v>
      </c>
      <c r="U41" s="22">
        <f t="shared" si="0"/>
        <v>84.59</v>
      </c>
    </row>
    <row r="42" spans="1:21" ht="31.5">
      <c r="A42" s="498"/>
      <c r="B42" s="498"/>
      <c r="C42" s="498"/>
      <c r="D42" s="43">
        <v>37</v>
      </c>
      <c r="E42" s="43" t="s">
        <v>71</v>
      </c>
      <c r="F42" s="355">
        <f>TVM!X42</f>
        <v>0</v>
      </c>
      <c r="G42" s="355">
        <f>KLM!X42</f>
        <v>0</v>
      </c>
      <c r="H42" s="355">
        <f>PTA!X42</f>
        <v>0</v>
      </c>
      <c r="I42" s="355">
        <f>ALP!X42</f>
        <v>0</v>
      </c>
      <c r="J42" s="355">
        <f>KTM!X42</f>
        <v>0</v>
      </c>
      <c r="K42" s="355">
        <f>IDK!X42</f>
        <v>0</v>
      </c>
      <c r="L42" s="355">
        <f>EKM!X42</f>
        <v>0</v>
      </c>
      <c r="M42" s="355">
        <f>TSR!X42</f>
        <v>0</v>
      </c>
      <c r="N42" s="355">
        <f>PLKD!X42</f>
        <v>0</v>
      </c>
      <c r="O42" s="355">
        <f>MLPM!X42</f>
        <v>0</v>
      </c>
      <c r="P42" s="355">
        <f>KKD!X42</f>
        <v>0</v>
      </c>
      <c r="Q42" s="355">
        <f>WYND!X42</f>
        <v>0</v>
      </c>
      <c r="R42" s="355">
        <f>KNR!X42</f>
        <v>0</v>
      </c>
      <c r="S42" s="355">
        <f>KSRGD!X42</f>
        <v>0</v>
      </c>
      <c r="T42" s="355">
        <f>SHS!X42</f>
        <v>0</v>
      </c>
      <c r="U42" s="22">
        <f t="shared" si="0"/>
        <v>0</v>
      </c>
    </row>
    <row r="43" spans="1:21" ht="31.5">
      <c r="A43" s="498"/>
      <c r="B43" s="498"/>
      <c r="C43" s="498"/>
      <c r="D43" s="43">
        <v>38</v>
      </c>
      <c r="E43" s="95" t="s">
        <v>72</v>
      </c>
      <c r="F43" s="355">
        <f>TVM!X43</f>
        <v>1.6</v>
      </c>
      <c r="G43" s="355">
        <f>KLM!X43</f>
        <v>1.7</v>
      </c>
      <c r="H43" s="355">
        <f>PTA!X43</f>
        <v>3.4</v>
      </c>
      <c r="I43" s="355">
        <f>ALP!X43</f>
        <v>3.3099999999999996</v>
      </c>
      <c r="J43" s="355">
        <f>KTM!X43</f>
        <v>1.6</v>
      </c>
      <c r="K43" s="355">
        <f>IDK!X43</f>
        <v>2.8099999999999996</v>
      </c>
      <c r="L43" s="355">
        <f>EKM!X43</f>
        <v>1.7</v>
      </c>
      <c r="M43" s="355">
        <f>TSR!X43</f>
        <v>1.7</v>
      </c>
      <c r="N43" s="355">
        <f>PLKD!X43</f>
        <v>5.49</v>
      </c>
      <c r="O43" s="355">
        <f>MLPM!X43</f>
        <v>6.9</v>
      </c>
      <c r="P43" s="355">
        <f>KKD!X43</f>
        <v>1.7</v>
      </c>
      <c r="Q43" s="355">
        <f>WYND!X43</f>
        <v>3.2</v>
      </c>
      <c r="R43" s="355">
        <f>KNR!X43</f>
        <v>2.4</v>
      </c>
      <c r="S43" s="355">
        <f>KSRGD!X43</f>
        <v>4.2</v>
      </c>
      <c r="T43" s="355">
        <f>SHS!X43</f>
        <v>0</v>
      </c>
      <c r="U43" s="22">
        <f t="shared" si="0"/>
        <v>41.709999999999994</v>
      </c>
    </row>
    <row r="44" spans="1:21" ht="63">
      <c r="A44" s="498"/>
      <c r="B44" s="498"/>
      <c r="C44" s="498"/>
      <c r="D44" s="43">
        <v>39</v>
      </c>
      <c r="E44" s="43" t="s">
        <v>74</v>
      </c>
      <c r="F44" s="355">
        <f>TVM!X44</f>
        <v>0</v>
      </c>
      <c r="G44" s="355">
        <f>KLM!X44</f>
        <v>0</v>
      </c>
      <c r="H44" s="355">
        <f>PTA!X44</f>
        <v>0</v>
      </c>
      <c r="I44" s="355">
        <f>ALP!X44</f>
        <v>0</v>
      </c>
      <c r="J44" s="355">
        <f>KTM!X44</f>
        <v>0</v>
      </c>
      <c r="K44" s="355">
        <f>IDK!X44</f>
        <v>0</v>
      </c>
      <c r="L44" s="355">
        <f>EKM!X44</f>
        <v>0</v>
      </c>
      <c r="M44" s="355">
        <f>TSR!X44</f>
        <v>0</v>
      </c>
      <c r="N44" s="355">
        <f>PLKD!X44</f>
        <v>0</v>
      </c>
      <c r="O44" s="355">
        <f>MLPM!X44</f>
        <v>0</v>
      </c>
      <c r="P44" s="355">
        <f>KKD!X44</f>
        <v>0</v>
      </c>
      <c r="Q44" s="355">
        <f>WYND!X44</f>
        <v>0</v>
      </c>
      <c r="R44" s="355">
        <f>KNR!X44</f>
        <v>0</v>
      </c>
      <c r="S44" s="355">
        <f>KSRGD!X44</f>
        <v>0</v>
      </c>
      <c r="T44" s="355">
        <f>SHS!X44</f>
        <v>0</v>
      </c>
      <c r="U44" s="22">
        <f t="shared" si="0"/>
        <v>0</v>
      </c>
    </row>
    <row r="45" spans="1:21" ht="31.5">
      <c r="A45" s="498"/>
      <c r="B45" s="498"/>
      <c r="C45" s="498"/>
      <c r="D45" s="43">
        <v>40</v>
      </c>
      <c r="E45" s="43" t="s">
        <v>75</v>
      </c>
      <c r="F45" s="355">
        <f>TVM!X45</f>
        <v>1.425</v>
      </c>
      <c r="G45" s="355">
        <f>KLM!X45</f>
        <v>1.2</v>
      </c>
      <c r="H45" s="355">
        <f>PTA!X45</f>
        <v>0.75</v>
      </c>
      <c r="I45" s="355">
        <f>ALP!X45</f>
        <v>0.9</v>
      </c>
      <c r="J45" s="355">
        <f>KTM!X45</f>
        <v>1.2</v>
      </c>
      <c r="K45" s="355">
        <f>IDK!X45</f>
        <v>0.52500000000000002</v>
      </c>
      <c r="L45" s="355">
        <f>EKM!X45</f>
        <v>1.425</v>
      </c>
      <c r="M45" s="355">
        <f>TSR!X45</f>
        <v>1.2749999999999999</v>
      </c>
      <c r="N45" s="355">
        <f>PLKD!X45</f>
        <v>1.05</v>
      </c>
      <c r="O45" s="355">
        <f>MLPM!X45</f>
        <v>1.125</v>
      </c>
      <c r="P45" s="355">
        <f>KKD!X45</f>
        <v>1.2</v>
      </c>
      <c r="Q45" s="355">
        <f>WYND!X45</f>
        <v>0.375</v>
      </c>
      <c r="R45" s="355">
        <f>KNR!X45</f>
        <v>0.97499999999999998</v>
      </c>
      <c r="S45" s="355">
        <f>KSRGD!X45</f>
        <v>0.52500000000000002</v>
      </c>
      <c r="T45" s="355">
        <f>SHS!X45</f>
        <v>3.15</v>
      </c>
      <c r="U45" s="22">
        <f t="shared" si="0"/>
        <v>17.100000000000001</v>
      </c>
    </row>
    <row r="46" spans="1:21" ht="47.25">
      <c r="A46" s="498"/>
      <c r="B46" s="496"/>
      <c r="C46" s="496"/>
      <c r="D46" s="43">
        <v>41</v>
      </c>
      <c r="E46" s="43" t="s">
        <v>44</v>
      </c>
      <c r="F46" s="355">
        <f>TVM!X46</f>
        <v>0</v>
      </c>
      <c r="G46" s="355">
        <f>KLM!X46</f>
        <v>0</v>
      </c>
      <c r="H46" s="355">
        <f>PTA!X46</f>
        <v>0</v>
      </c>
      <c r="I46" s="355">
        <f>ALP!X46</f>
        <v>0</v>
      </c>
      <c r="J46" s="355">
        <f>KTM!X46</f>
        <v>0</v>
      </c>
      <c r="K46" s="355">
        <f>IDK!X46</f>
        <v>0</v>
      </c>
      <c r="L46" s="355">
        <f>EKM!X46</f>
        <v>0</v>
      </c>
      <c r="M46" s="355">
        <f>TSR!X46</f>
        <v>0</v>
      </c>
      <c r="N46" s="355">
        <f>PLKD!X46</f>
        <v>0</v>
      </c>
      <c r="O46" s="355">
        <f>MLPM!X46</f>
        <v>0</v>
      </c>
      <c r="P46" s="355">
        <f>KKD!X46</f>
        <v>0</v>
      </c>
      <c r="Q46" s="355">
        <f>WYND!X46</f>
        <v>0</v>
      </c>
      <c r="R46" s="355">
        <f>KNR!X46</f>
        <v>0</v>
      </c>
      <c r="S46" s="355">
        <f>KSRGD!X46</f>
        <v>0</v>
      </c>
      <c r="T46" s="355">
        <f>SHS!X46</f>
        <v>0</v>
      </c>
      <c r="U46" s="22">
        <f t="shared" si="0"/>
        <v>0</v>
      </c>
    </row>
    <row r="47" spans="1:21">
      <c r="A47" s="498"/>
      <c r="B47" s="497" t="s">
        <v>76</v>
      </c>
      <c r="C47" s="497" t="s">
        <v>77</v>
      </c>
      <c r="D47" s="43">
        <v>42</v>
      </c>
      <c r="E47" s="43" t="s">
        <v>78</v>
      </c>
      <c r="F47" s="355">
        <f>TVM!X47</f>
        <v>16.166</v>
      </c>
      <c r="G47" s="355">
        <f>KLM!X47</f>
        <v>6.97</v>
      </c>
      <c r="H47" s="355">
        <f>PTA!X47</f>
        <v>2.2909999999999999</v>
      </c>
      <c r="I47" s="355">
        <f>ALP!X47</f>
        <v>3.7465000000000002</v>
      </c>
      <c r="J47" s="355">
        <f>KTM!X47</f>
        <v>7.4044999999999996</v>
      </c>
      <c r="K47" s="355">
        <f>IDK!X47</f>
        <v>2.9237500000000001</v>
      </c>
      <c r="L47" s="355">
        <f>EKM!X47</f>
        <v>4.9085000000000001</v>
      </c>
      <c r="M47" s="355">
        <f>TSR!X47</f>
        <v>8.4730000000000008</v>
      </c>
      <c r="N47" s="355">
        <f>PLKD!X47</f>
        <v>7.4160000000000004</v>
      </c>
      <c r="O47" s="355">
        <f>MLPM!X47</f>
        <v>6.0590000000000002</v>
      </c>
      <c r="P47" s="355">
        <f>KKD!X47</f>
        <v>10.538</v>
      </c>
      <c r="Q47" s="355">
        <f>WYND!X47</f>
        <v>3.2647499999999998</v>
      </c>
      <c r="R47" s="355">
        <f>KNR!X47</f>
        <v>4.2447499999999998</v>
      </c>
      <c r="S47" s="355">
        <f>KSRGD!X47</f>
        <v>2.16825</v>
      </c>
      <c r="T47" s="355">
        <f>SHS!X47</f>
        <v>424</v>
      </c>
      <c r="U47" s="22">
        <f t="shared" si="0"/>
        <v>510.57400000000001</v>
      </c>
    </row>
    <row r="48" spans="1:21">
      <c r="A48" s="498"/>
      <c r="B48" s="498"/>
      <c r="C48" s="498"/>
      <c r="D48" s="43">
        <v>43</v>
      </c>
      <c r="E48" s="43" t="s">
        <v>79</v>
      </c>
      <c r="F48" s="355">
        <f>TVM!X48</f>
        <v>0.315</v>
      </c>
      <c r="G48" s="355">
        <f>KLM!X48</f>
        <v>0.17</v>
      </c>
      <c r="H48" s="355">
        <f>PTA!X48</f>
        <v>0.09</v>
      </c>
      <c r="I48" s="355">
        <f>ALP!X48</f>
        <v>0.64500000000000002</v>
      </c>
      <c r="J48" s="355">
        <f>KTM!X48</f>
        <v>0.75</v>
      </c>
      <c r="K48" s="355">
        <f>IDK!X48</f>
        <v>0.15</v>
      </c>
      <c r="L48" s="355">
        <f>EKM!X48</f>
        <v>0.27</v>
      </c>
      <c r="M48" s="355">
        <f>TSR!X48</f>
        <v>1.2</v>
      </c>
      <c r="N48" s="355">
        <f>PLKD!X48</f>
        <v>0.46500000000000002</v>
      </c>
      <c r="O48" s="355">
        <f>MLPM!X48</f>
        <v>0.09</v>
      </c>
      <c r="P48" s="355">
        <f>KKD!X48</f>
        <v>0.64500000000000002</v>
      </c>
      <c r="Q48" s="355">
        <f>WYND!X48</f>
        <v>0.19500000000000001</v>
      </c>
      <c r="R48" s="355">
        <f>KNR!X48</f>
        <v>0.39</v>
      </c>
      <c r="S48" s="355">
        <f>KSRGD!X48</f>
        <v>0.34499999999999997</v>
      </c>
      <c r="T48" s="355">
        <f>SHS!X48</f>
        <v>0</v>
      </c>
      <c r="U48" s="22">
        <f t="shared" si="0"/>
        <v>5.7199999999999989</v>
      </c>
    </row>
    <row r="49" spans="1:21" ht="31.5">
      <c r="A49" s="498"/>
      <c r="B49" s="498"/>
      <c r="C49" s="498"/>
      <c r="D49" s="43">
        <v>44</v>
      </c>
      <c r="E49" s="43" t="s">
        <v>80</v>
      </c>
      <c r="F49" s="355">
        <f>TVM!X49</f>
        <v>0.87</v>
      </c>
      <c r="G49" s="355">
        <f>KLM!X49</f>
        <v>0.16200000000000001</v>
      </c>
      <c r="H49" s="355">
        <f>PTA!X49</f>
        <v>0.48299999999999998</v>
      </c>
      <c r="I49" s="355">
        <f>ALP!X49</f>
        <v>0.44700000000000001</v>
      </c>
      <c r="J49" s="355">
        <f>KTM!X49</f>
        <v>2.2050000000000001</v>
      </c>
      <c r="K49" s="355">
        <f>IDK!X49</f>
        <v>2.1000000000000001E-2</v>
      </c>
      <c r="L49" s="355">
        <f>EKM!X49</f>
        <v>0.20699999999999999</v>
      </c>
      <c r="M49" s="355">
        <f>TSR!X49</f>
        <v>0.255</v>
      </c>
      <c r="N49" s="355">
        <f>PLKD!X49</f>
        <v>0.21</v>
      </c>
      <c r="O49" s="355">
        <f>MLPM!X49</f>
        <v>0.37</v>
      </c>
      <c r="P49" s="355">
        <f>KKD!X49</f>
        <v>1.278</v>
      </c>
      <c r="Q49" s="355">
        <f>WYND!X49</f>
        <v>0.375</v>
      </c>
      <c r="R49" s="355">
        <f>KNR!X49</f>
        <v>6.6000000000000003E-2</v>
      </c>
      <c r="S49" s="355">
        <f>KSRGD!X49</f>
        <v>0.17699999999999999</v>
      </c>
      <c r="T49" s="355">
        <f>SHS!X49</f>
        <v>0</v>
      </c>
      <c r="U49" s="22">
        <f t="shared" si="0"/>
        <v>7.1259999999999986</v>
      </c>
    </row>
    <row r="50" spans="1:21">
      <c r="A50" s="498"/>
      <c r="B50" s="498"/>
      <c r="C50" s="498"/>
      <c r="D50" s="43">
        <v>45</v>
      </c>
      <c r="E50" s="43" t="s">
        <v>81</v>
      </c>
      <c r="F50" s="355">
        <f>TVM!X50</f>
        <v>0.41199999999999998</v>
      </c>
      <c r="G50" s="355">
        <f>KLM!X50</f>
        <v>0.105</v>
      </c>
      <c r="H50" s="355">
        <f>PTA!X50</f>
        <v>4.3999999999999997E-2</v>
      </c>
      <c r="I50" s="355">
        <f>ALP!X50</f>
        <v>0.10100000000000001</v>
      </c>
      <c r="J50" s="355">
        <f>KTM!X50</f>
        <v>0.23300000000000001</v>
      </c>
      <c r="K50" s="355">
        <f>IDK!X50</f>
        <v>7.6999999999999999E-2</v>
      </c>
      <c r="L50" s="355">
        <f>EKM!X50</f>
        <v>0.29799999999999999</v>
      </c>
      <c r="M50" s="355">
        <f>TSR!X50</f>
        <v>0.41099999999999998</v>
      </c>
      <c r="N50" s="355">
        <f>PLKD!X50</f>
        <v>0.108</v>
      </c>
      <c r="O50" s="355">
        <f>MLPM!X50</f>
        <v>0.11600000000000001</v>
      </c>
      <c r="P50" s="355">
        <f>KKD!X50</f>
        <v>0.224</v>
      </c>
      <c r="Q50" s="355">
        <f>WYND!X50</f>
        <v>0.17699999999999999</v>
      </c>
      <c r="R50" s="355">
        <f>KNR!X50</f>
        <v>0.34399999999999997</v>
      </c>
      <c r="S50" s="355">
        <f>KSRGD!X50</f>
        <v>9.6000000000000002E-2</v>
      </c>
      <c r="T50" s="355">
        <f>SHS!X50</f>
        <v>0</v>
      </c>
      <c r="U50" s="22">
        <f t="shared" si="0"/>
        <v>2.7460000000000004</v>
      </c>
    </row>
    <row r="51" spans="1:21" ht="31.5">
      <c r="A51" s="498"/>
      <c r="B51" s="498"/>
      <c r="C51" s="498"/>
      <c r="D51" s="43">
        <v>46</v>
      </c>
      <c r="E51" s="43" t="s">
        <v>82</v>
      </c>
      <c r="F51" s="355">
        <f>TVM!X51</f>
        <v>0</v>
      </c>
      <c r="G51" s="355">
        <f>KLM!X51</f>
        <v>0</v>
      </c>
      <c r="H51" s="355">
        <f>PTA!X51</f>
        <v>0</v>
      </c>
      <c r="I51" s="355">
        <f>ALP!X51</f>
        <v>0</v>
      </c>
      <c r="J51" s="355">
        <f>KTM!X51</f>
        <v>0</v>
      </c>
      <c r="K51" s="355">
        <f>IDK!X51</f>
        <v>0</v>
      </c>
      <c r="L51" s="355">
        <f>EKM!X51</f>
        <v>0</v>
      </c>
      <c r="M51" s="355">
        <f>TSR!X51</f>
        <v>0</v>
      </c>
      <c r="N51" s="355">
        <f>PLKD!X51</f>
        <v>0</v>
      </c>
      <c r="O51" s="355">
        <f>MLPM!X51</f>
        <v>0</v>
      </c>
      <c r="P51" s="355">
        <f>KKD!X51</f>
        <v>0</v>
      </c>
      <c r="Q51" s="355">
        <f>WYND!X51</f>
        <v>0</v>
      </c>
      <c r="R51" s="355">
        <f>KNR!X51</f>
        <v>0</v>
      </c>
      <c r="S51" s="355">
        <f>KSRGD!X51</f>
        <v>0</v>
      </c>
      <c r="T51" s="355">
        <f>SHS!X51</f>
        <v>0</v>
      </c>
      <c r="U51" s="22">
        <f t="shared" si="0"/>
        <v>0</v>
      </c>
    </row>
    <row r="52" spans="1:21" ht="31.5">
      <c r="A52" s="498"/>
      <c r="B52" s="498"/>
      <c r="C52" s="498"/>
      <c r="D52" s="43">
        <v>47</v>
      </c>
      <c r="E52" s="43" t="s">
        <v>83</v>
      </c>
      <c r="F52" s="355">
        <f>TVM!X52</f>
        <v>0</v>
      </c>
      <c r="G52" s="355">
        <f>KLM!X52</f>
        <v>0</v>
      </c>
      <c r="H52" s="355">
        <f>PTA!X52</f>
        <v>0</v>
      </c>
      <c r="I52" s="355">
        <f>ALP!X52</f>
        <v>0</v>
      </c>
      <c r="J52" s="355">
        <f>KTM!X52</f>
        <v>0</v>
      </c>
      <c r="K52" s="355">
        <f>IDK!X52</f>
        <v>0</v>
      </c>
      <c r="L52" s="355">
        <f>EKM!X52</f>
        <v>0</v>
      </c>
      <c r="M52" s="355">
        <f>TSR!X52</f>
        <v>0</v>
      </c>
      <c r="N52" s="355">
        <f>PLKD!X52</f>
        <v>0</v>
      </c>
      <c r="O52" s="355">
        <f>MLPM!X52</f>
        <v>0</v>
      </c>
      <c r="P52" s="355">
        <f>KKD!X52</f>
        <v>0</v>
      </c>
      <c r="Q52" s="355">
        <f>WYND!X52</f>
        <v>0</v>
      </c>
      <c r="R52" s="355">
        <f>KNR!X52</f>
        <v>0</v>
      </c>
      <c r="S52" s="355">
        <f>KSRGD!X52</f>
        <v>0</v>
      </c>
      <c r="T52" s="355">
        <f>SHS!X52</f>
        <v>48.3</v>
      </c>
      <c r="U52" s="22">
        <f t="shared" si="0"/>
        <v>48.3</v>
      </c>
    </row>
    <row r="53" spans="1:21">
      <c r="A53" s="498"/>
      <c r="B53" s="498"/>
      <c r="C53" s="498"/>
      <c r="D53" s="43">
        <v>48</v>
      </c>
      <c r="E53" s="43" t="s">
        <v>84</v>
      </c>
      <c r="F53" s="355">
        <f>TVM!X53</f>
        <v>0</v>
      </c>
      <c r="G53" s="355">
        <f>KLM!X53</f>
        <v>0</v>
      </c>
      <c r="H53" s="355">
        <f>PTA!X53</f>
        <v>0</v>
      </c>
      <c r="I53" s="355">
        <f>ALP!X53</f>
        <v>0</v>
      </c>
      <c r="J53" s="355">
        <f>KTM!X53</f>
        <v>0</v>
      </c>
      <c r="K53" s="355">
        <f>IDK!X53</f>
        <v>0</v>
      </c>
      <c r="L53" s="355">
        <f>EKM!X53</f>
        <v>0</v>
      </c>
      <c r="M53" s="355">
        <f>TSR!X53</f>
        <v>0</v>
      </c>
      <c r="N53" s="355">
        <f>PLKD!X53</f>
        <v>0</v>
      </c>
      <c r="O53" s="355">
        <f>MLPM!X53</f>
        <v>0</v>
      </c>
      <c r="P53" s="355">
        <f>KKD!X53</f>
        <v>0</v>
      </c>
      <c r="Q53" s="355">
        <f>WYND!X53</f>
        <v>0</v>
      </c>
      <c r="R53" s="355">
        <f>KNR!X53</f>
        <v>0</v>
      </c>
      <c r="S53" s="355">
        <f>KSRGD!X53</f>
        <v>0</v>
      </c>
      <c r="T53" s="355">
        <f>SHS!X53</f>
        <v>0</v>
      </c>
      <c r="U53" s="22">
        <f t="shared" si="0"/>
        <v>0</v>
      </c>
    </row>
    <row r="54" spans="1:21" ht="47.25">
      <c r="A54" s="498"/>
      <c r="B54" s="498"/>
      <c r="C54" s="498"/>
      <c r="D54" s="43">
        <v>49</v>
      </c>
      <c r="E54" s="43" t="s">
        <v>85</v>
      </c>
      <c r="F54" s="355">
        <f>TVM!X54</f>
        <v>0</v>
      </c>
      <c r="G54" s="355">
        <f>KLM!X54</f>
        <v>0</v>
      </c>
      <c r="H54" s="355">
        <f>PTA!X54</f>
        <v>0</v>
      </c>
      <c r="I54" s="355">
        <f>ALP!X54</f>
        <v>0</v>
      </c>
      <c r="J54" s="355">
        <f>KTM!X54</f>
        <v>0</v>
      </c>
      <c r="K54" s="355">
        <f>IDK!X54</f>
        <v>0</v>
      </c>
      <c r="L54" s="355">
        <f>EKM!X54</f>
        <v>0</v>
      </c>
      <c r="M54" s="355">
        <f>TSR!X54</f>
        <v>0</v>
      </c>
      <c r="N54" s="355">
        <f>PLKD!X54</f>
        <v>0</v>
      </c>
      <c r="O54" s="355">
        <f>MLPM!X54</f>
        <v>0</v>
      </c>
      <c r="P54" s="355">
        <f>KKD!X54</f>
        <v>0</v>
      </c>
      <c r="Q54" s="355">
        <f>WYND!X54</f>
        <v>0</v>
      </c>
      <c r="R54" s="355">
        <f>KNR!X54</f>
        <v>0</v>
      </c>
      <c r="S54" s="355">
        <f>KSRGD!X54</f>
        <v>0</v>
      </c>
      <c r="T54" s="355">
        <f>SHS!X54</f>
        <v>0</v>
      </c>
      <c r="U54" s="22">
        <f t="shared" si="0"/>
        <v>0</v>
      </c>
    </row>
    <row r="55" spans="1:21" ht="47.25">
      <c r="A55" s="498"/>
      <c r="B55" s="498"/>
      <c r="C55" s="498"/>
      <c r="D55" s="43">
        <v>50</v>
      </c>
      <c r="E55" s="43" t="s">
        <v>86</v>
      </c>
      <c r="F55" s="355">
        <f>TVM!X55</f>
        <v>0</v>
      </c>
      <c r="G55" s="355">
        <f>KLM!X55</f>
        <v>0</v>
      </c>
      <c r="H55" s="355">
        <f>PTA!X55</f>
        <v>0</v>
      </c>
      <c r="I55" s="355">
        <f>ALP!X55</f>
        <v>0</v>
      </c>
      <c r="J55" s="355">
        <f>KTM!X55</f>
        <v>0</v>
      </c>
      <c r="K55" s="355">
        <f>IDK!X55</f>
        <v>0</v>
      </c>
      <c r="L55" s="355">
        <f>EKM!X55</f>
        <v>0</v>
      </c>
      <c r="M55" s="355">
        <f>TSR!X55</f>
        <v>0</v>
      </c>
      <c r="N55" s="355">
        <f>PLKD!X55</f>
        <v>0</v>
      </c>
      <c r="O55" s="355">
        <f>MLPM!X55</f>
        <v>0</v>
      </c>
      <c r="P55" s="355">
        <f>KKD!X55</f>
        <v>0</v>
      </c>
      <c r="Q55" s="355">
        <f>WYND!X55</f>
        <v>0</v>
      </c>
      <c r="R55" s="355">
        <f>KNR!X55</f>
        <v>0</v>
      </c>
      <c r="S55" s="355">
        <f>KSRGD!X55</f>
        <v>0</v>
      </c>
      <c r="T55" s="355">
        <f>SHS!X55</f>
        <v>5</v>
      </c>
      <c r="U55" s="22">
        <f t="shared" si="0"/>
        <v>5</v>
      </c>
    </row>
    <row r="56" spans="1:21" ht="47.25">
      <c r="A56" s="498"/>
      <c r="B56" s="496"/>
      <c r="C56" s="496"/>
      <c r="D56" s="43">
        <v>51</v>
      </c>
      <c r="E56" s="43" t="s">
        <v>44</v>
      </c>
      <c r="F56" s="355">
        <f>TVM!X56</f>
        <v>0</v>
      </c>
      <c r="G56" s="355">
        <f>KLM!X56</f>
        <v>0</v>
      </c>
      <c r="H56" s="355">
        <f>PTA!X56</f>
        <v>0</v>
      </c>
      <c r="I56" s="355">
        <f>ALP!X56</f>
        <v>0</v>
      </c>
      <c r="J56" s="355">
        <f>KTM!X56</f>
        <v>0</v>
      </c>
      <c r="K56" s="355">
        <f>IDK!X56</f>
        <v>0</v>
      </c>
      <c r="L56" s="355">
        <f>EKM!X56</f>
        <v>0</v>
      </c>
      <c r="M56" s="355">
        <f>TSR!X56</f>
        <v>0</v>
      </c>
      <c r="N56" s="355">
        <f>PLKD!X56</f>
        <v>0</v>
      </c>
      <c r="O56" s="355">
        <f>MLPM!X56</f>
        <v>0</v>
      </c>
      <c r="P56" s="355">
        <f>KKD!X56</f>
        <v>0</v>
      </c>
      <c r="Q56" s="355">
        <f>WYND!X56</f>
        <v>0</v>
      </c>
      <c r="R56" s="355">
        <f>KNR!X56</f>
        <v>0</v>
      </c>
      <c r="S56" s="355">
        <f>KSRGD!X56</f>
        <v>0</v>
      </c>
      <c r="T56" s="355">
        <f>SHS!X56</f>
        <v>0</v>
      </c>
      <c r="U56" s="22">
        <f t="shared" si="0"/>
        <v>0</v>
      </c>
    </row>
    <row r="57" spans="1:21" ht="31.5">
      <c r="A57" s="498"/>
      <c r="B57" s="497" t="s">
        <v>87</v>
      </c>
      <c r="C57" s="497" t="s">
        <v>88</v>
      </c>
      <c r="D57" s="43">
        <v>52</v>
      </c>
      <c r="E57" s="43" t="s">
        <v>89</v>
      </c>
      <c r="F57" s="355">
        <f>TVM!X57</f>
        <v>0</v>
      </c>
      <c r="G57" s="355">
        <f>KLM!X57</f>
        <v>0</v>
      </c>
      <c r="H57" s="355">
        <f>PTA!X57</f>
        <v>0</v>
      </c>
      <c r="I57" s="355">
        <f>ALP!X57</f>
        <v>0</v>
      </c>
      <c r="J57" s="355">
        <f>KTM!X57</f>
        <v>0</v>
      </c>
      <c r="K57" s="355">
        <f>IDK!X57</f>
        <v>0</v>
      </c>
      <c r="L57" s="355">
        <f>EKM!X57</f>
        <v>0</v>
      </c>
      <c r="M57" s="355">
        <f>TSR!X57</f>
        <v>0</v>
      </c>
      <c r="N57" s="355">
        <f>PLKD!X57</f>
        <v>0</v>
      </c>
      <c r="O57" s="355">
        <f>MLPM!X57</f>
        <v>0</v>
      </c>
      <c r="P57" s="355">
        <f>KKD!X57</f>
        <v>0</v>
      </c>
      <c r="Q57" s="355">
        <f>WYND!X57</f>
        <v>0</v>
      </c>
      <c r="R57" s="355">
        <f>KNR!X57</f>
        <v>0</v>
      </c>
      <c r="S57" s="355">
        <f>KSRGD!X57</f>
        <v>0</v>
      </c>
      <c r="T57" s="355">
        <f>SHS!X57</f>
        <v>809.83000000000015</v>
      </c>
      <c r="U57" s="22">
        <f t="shared" si="0"/>
        <v>809.83000000000015</v>
      </c>
    </row>
    <row r="58" spans="1:21" ht="31.5">
      <c r="A58" s="498"/>
      <c r="B58" s="498"/>
      <c r="C58" s="498"/>
      <c r="D58" s="43">
        <v>53</v>
      </c>
      <c r="E58" s="43" t="s">
        <v>90</v>
      </c>
      <c r="F58" s="355">
        <f>TVM!X58</f>
        <v>0</v>
      </c>
      <c r="G58" s="355">
        <f>KLM!X58</f>
        <v>0</v>
      </c>
      <c r="H58" s="355">
        <f>PTA!X58</f>
        <v>0</v>
      </c>
      <c r="I58" s="355">
        <f>ALP!X58</f>
        <v>0</v>
      </c>
      <c r="J58" s="355">
        <f>KTM!X58</f>
        <v>0</v>
      </c>
      <c r="K58" s="355">
        <f>IDK!X58</f>
        <v>0</v>
      </c>
      <c r="L58" s="355">
        <f>EKM!X58</f>
        <v>0</v>
      </c>
      <c r="M58" s="355">
        <f>TSR!X58</f>
        <v>0</v>
      </c>
      <c r="N58" s="355">
        <f>PLKD!X58</f>
        <v>0</v>
      </c>
      <c r="O58" s="355">
        <f>MLPM!X58</f>
        <v>0</v>
      </c>
      <c r="P58" s="355">
        <f>KKD!X58</f>
        <v>0</v>
      </c>
      <c r="Q58" s="355">
        <f>WYND!X58</f>
        <v>0</v>
      </c>
      <c r="R58" s="355">
        <f>KNR!X58</f>
        <v>0</v>
      </c>
      <c r="S58" s="355">
        <f>KSRGD!X58</f>
        <v>0</v>
      </c>
      <c r="T58" s="355">
        <f>SHS!X58</f>
        <v>107.33</v>
      </c>
      <c r="U58" s="22">
        <f t="shared" si="0"/>
        <v>107.33</v>
      </c>
    </row>
    <row r="59" spans="1:21" ht="47.25">
      <c r="A59" s="498"/>
      <c r="B59" s="498"/>
      <c r="C59" s="498"/>
      <c r="D59" s="43">
        <v>54</v>
      </c>
      <c r="E59" s="43" t="s">
        <v>91</v>
      </c>
      <c r="F59" s="355">
        <f>TVM!X59</f>
        <v>1</v>
      </c>
      <c r="G59" s="355">
        <f>KLM!X59</f>
        <v>1</v>
      </c>
      <c r="H59" s="355">
        <f>PTA!X59</f>
        <v>1</v>
      </c>
      <c r="I59" s="355">
        <f>ALP!X59</f>
        <v>1</v>
      </c>
      <c r="J59" s="355">
        <f>KTM!X59</f>
        <v>1</v>
      </c>
      <c r="K59" s="355">
        <f>IDK!X59</f>
        <v>1</v>
      </c>
      <c r="L59" s="355">
        <f>EKM!X59</f>
        <v>1</v>
      </c>
      <c r="M59" s="355">
        <f>TSR!X59</f>
        <v>1</v>
      </c>
      <c r="N59" s="355">
        <f>PLKD!X59</f>
        <v>6</v>
      </c>
      <c r="O59" s="355">
        <f>MLPM!X59</f>
        <v>1</v>
      </c>
      <c r="P59" s="355">
        <f>KKD!X59</f>
        <v>1</v>
      </c>
      <c r="Q59" s="355">
        <f>WYND!X59</f>
        <v>2</v>
      </c>
      <c r="R59" s="355">
        <f>KNR!X59</f>
        <v>1</v>
      </c>
      <c r="S59" s="355">
        <f>KSRGD!X59</f>
        <v>1</v>
      </c>
      <c r="T59" s="355">
        <f>SHS!X59</f>
        <v>0</v>
      </c>
      <c r="U59" s="22">
        <f t="shared" si="0"/>
        <v>20</v>
      </c>
    </row>
    <row r="60" spans="1:21" ht="31.5">
      <c r="A60" s="498"/>
      <c r="B60" s="498"/>
      <c r="C60" s="498"/>
      <c r="D60" s="43">
        <v>55</v>
      </c>
      <c r="E60" s="43" t="s">
        <v>93</v>
      </c>
      <c r="F60" s="355">
        <f>TVM!X60</f>
        <v>0</v>
      </c>
      <c r="G60" s="355">
        <f>KLM!X60</f>
        <v>0</v>
      </c>
      <c r="H60" s="355">
        <f>PTA!X60</f>
        <v>0</v>
      </c>
      <c r="I60" s="355">
        <f>ALP!X60</f>
        <v>0</v>
      </c>
      <c r="J60" s="355">
        <f>KTM!X60</f>
        <v>0</v>
      </c>
      <c r="K60" s="355">
        <f>IDK!X60</f>
        <v>0</v>
      </c>
      <c r="L60" s="355">
        <f>EKM!X60</f>
        <v>0</v>
      </c>
      <c r="M60" s="355">
        <f>TSR!X60</f>
        <v>0</v>
      </c>
      <c r="N60" s="355">
        <f>PLKD!X60</f>
        <v>0</v>
      </c>
      <c r="O60" s="355">
        <f>MLPM!X60</f>
        <v>0</v>
      </c>
      <c r="P60" s="355">
        <f>KKD!X60</f>
        <v>0</v>
      </c>
      <c r="Q60" s="355">
        <f>WYND!X60</f>
        <v>0</v>
      </c>
      <c r="R60" s="355">
        <f>KNR!X60</f>
        <v>0</v>
      </c>
      <c r="S60" s="355">
        <f>KSRGD!X60</f>
        <v>0</v>
      </c>
      <c r="T60" s="355">
        <f>SHS!X60</f>
        <v>25.3</v>
      </c>
      <c r="U60" s="22">
        <f t="shared" si="0"/>
        <v>25.3</v>
      </c>
    </row>
    <row r="61" spans="1:21" ht="31.5">
      <c r="A61" s="498"/>
      <c r="B61" s="498"/>
      <c r="C61" s="498"/>
      <c r="D61" s="43">
        <v>56</v>
      </c>
      <c r="E61" s="43" t="s">
        <v>94</v>
      </c>
      <c r="F61" s="355">
        <f>TVM!X61</f>
        <v>0</v>
      </c>
      <c r="G61" s="355">
        <f>KLM!X61</f>
        <v>0</v>
      </c>
      <c r="H61" s="355">
        <f>PTA!X61</f>
        <v>0</v>
      </c>
      <c r="I61" s="355">
        <f>ALP!X61</f>
        <v>0</v>
      </c>
      <c r="J61" s="355">
        <f>KTM!X61</f>
        <v>0</v>
      </c>
      <c r="K61" s="355">
        <f>IDK!X61</f>
        <v>0</v>
      </c>
      <c r="L61" s="355">
        <f>EKM!X61</f>
        <v>0</v>
      </c>
      <c r="M61" s="355">
        <f>TSR!X61</f>
        <v>0</v>
      </c>
      <c r="N61" s="355">
        <f>PLKD!X61</f>
        <v>0</v>
      </c>
      <c r="O61" s="355">
        <f>MLPM!X61</f>
        <v>0</v>
      </c>
      <c r="P61" s="355">
        <f>KKD!X61</f>
        <v>0</v>
      </c>
      <c r="Q61" s="355">
        <f>WYND!X61</f>
        <v>0</v>
      </c>
      <c r="R61" s="355">
        <f>KNR!X61</f>
        <v>0</v>
      </c>
      <c r="S61" s="355">
        <f>KSRGD!X61</f>
        <v>0</v>
      </c>
      <c r="T61" s="355">
        <f>SHS!X61</f>
        <v>0</v>
      </c>
      <c r="U61" s="22">
        <f t="shared" si="0"/>
        <v>0</v>
      </c>
    </row>
    <row r="62" spans="1:21" ht="31.5">
      <c r="A62" s="498"/>
      <c r="B62" s="498"/>
      <c r="C62" s="498"/>
      <c r="D62" s="43">
        <v>57</v>
      </c>
      <c r="E62" s="43" t="s">
        <v>95</v>
      </c>
      <c r="F62" s="355">
        <f>TVM!X62</f>
        <v>2</v>
      </c>
      <c r="G62" s="355">
        <f>KLM!X62</f>
        <v>0</v>
      </c>
      <c r="H62" s="355">
        <f>PTA!X62</f>
        <v>0</v>
      </c>
      <c r="I62" s="355">
        <f>ALP!X62</f>
        <v>0</v>
      </c>
      <c r="J62" s="355">
        <f>KTM!X62</f>
        <v>2</v>
      </c>
      <c r="K62" s="355">
        <f>IDK!X62</f>
        <v>0</v>
      </c>
      <c r="L62" s="355">
        <f>EKM!X62</f>
        <v>1.05</v>
      </c>
      <c r="M62" s="355">
        <f>TSR!X62</f>
        <v>2</v>
      </c>
      <c r="N62" s="355">
        <f>PLKD!X62</f>
        <v>0</v>
      </c>
      <c r="O62" s="355">
        <f>MLPM!X62</f>
        <v>37</v>
      </c>
      <c r="P62" s="355">
        <f>KKD!X62</f>
        <v>3.05</v>
      </c>
      <c r="Q62" s="355">
        <f>WYND!X62</f>
        <v>0</v>
      </c>
      <c r="R62" s="355">
        <f>KNR!X62</f>
        <v>0</v>
      </c>
      <c r="S62" s="355">
        <f>KSRGD!X62</f>
        <v>0</v>
      </c>
      <c r="T62" s="355">
        <f>SHS!X62</f>
        <v>31.13</v>
      </c>
      <c r="U62" s="22">
        <f t="shared" si="0"/>
        <v>78.22999999999999</v>
      </c>
    </row>
    <row r="63" spans="1:21" ht="31.5">
      <c r="A63" s="498"/>
      <c r="B63" s="498"/>
      <c r="C63" s="498"/>
      <c r="D63" s="43">
        <v>58</v>
      </c>
      <c r="E63" s="43" t="s">
        <v>97</v>
      </c>
      <c r="F63" s="355">
        <f>TVM!X63</f>
        <v>0</v>
      </c>
      <c r="G63" s="355">
        <f>KLM!X63</f>
        <v>0</v>
      </c>
      <c r="H63" s="355">
        <f>PTA!X63</f>
        <v>0</v>
      </c>
      <c r="I63" s="355">
        <f>ALP!X63</f>
        <v>0</v>
      </c>
      <c r="J63" s="355">
        <f>KTM!X63</f>
        <v>0</v>
      </c>
      <c r="K63" s="355">
        <f>IDK!X63</f>
        <v>0</v>
      </c>
      <c r="L63" s="355">
        <f>EKM!X63</f>
        <v>0</v>
      </c>
      <c r="M63" s="355">
        <f>TSR!X63</f>
        <v>0</v>
      </c>
      <c r="N63" s="355">
        <f>PLKD!X63</f>
        <v>0</v>
      </c>
      <c r="O63" s="355">
        <f>MLPM!X63</f>
        <v>0</v>
      </c>
      <c r="P63" s="355">
        <f>KKD!X63</f>
        <v>0</v>
      </c>
      <c r="Q63" s="355">
        <f>WYND!X63</f>
        <v>0</v>
      </c>
      <c r="R63" s="355">
        <f>KNR!X63</f>
        <v>0</v>
      </c>
      <c r="S63" s="355">
        <f>KSRGD!X63</f>
        <v>0</v>
      </c>
      <c r="T63" s="355">
        <f>SHS!X63</f>
        <v>0</v>
      </c>
      <c r="U63" s="22">
        <f t="shared" si="0"/>
        <v>0</v>
      </c>
    </row>
    <row r="64" spans="1:21">
      <c r="A64" s="498"/>
      <c r="B64" s="498"/>
      <c r="C64" s="498"/>
      <c r="D64" s="43">
        <v>59</v>
      </c>
      <c r="E64" s="43" t="s">
        <v>98</v>
      </c>
      <c r="F64" s="355">
        <f>TVM!X64</f>
        <v>0</v>
      </c>
      <c r="G64" s="355">
        <f>KLM!X64</f>
        <v>0</v>
      </c>
      <c r="H64" s="355">
        <f>PTA!X64</f>
        <v>0</v>
      </c>
      <c r="I64" s="355">
        <f>ALP!X64</f>
        <v>0</v>
      </c>
      <c r="J64" s="355">
        <f>KTM!X64</f>
        <v>0</v>
      </c>
      <c r="K64" s="355">
        <f>IDK!X64</f>
        <v>0</v>
      </c>
      <c r="L64" s="355">
        <f>EKM!X64</f>
        <v>0</v>
      </c>
      <c r="M64" s="355">
        <f>TSR!X64</f>
        <v>0</v>
      </c>
      <c r="N64" s="355">
        <f>PLKD!X64</f>
        <v>0</v>
      </c>
      <c r="O64" s="355">
        <f>MLPM!X64</f>
        <v>0</v>
      </c>
      <c r="P64" s="355">
        <f>KKD!X64</f>
        <v>0</v>
      </c>
      <c r="Q64" s="355">
        <f>WYND!X64</f>
        <v>0</v>
      </c>
      <c r="R64" s="355">
        <f>KNR!X64</f>
        <v>0</v>
      </c>
      <c r="S64" s="355">
        <f>KSRGD!X64</f>
        <v>0</v>
      </c>
      <c r="T64" s="355">
        <f>SHS!X64</f>
        <v>0</v>
      </c>
      <c r="U64" s="22">
        <f t="shared" si="0"/>
        <v>0</v>
      </c>
    </row>
    <row r="65" spans="1:21" ht="31.5">
      <c r="A65" s="498"/>
      <c r="B65" s="498"/>
      <c r="C65" s="498"/>
      <c r="D65" s="43">
        <v>60</v>
      </c>
      <c r="E65" s="43" t="s">
        <v>99</v>
      </c>
      <c r="F65" s="355">
        <f>TVM!X65</f>
        <v>0</v>
      </c>
      <c r="G65" s="355">
        <f>KLM!X65</f>
        <v>0</v>
      </c>
      <c r="H65" s="355">
        <f>PTA!X65</f>
        <v>0</v>
      </c>
      <c r="I65" s="355">
        <f>ALP!X65</f>
        <v>0</v>
      </c>
      <c r="J65" s="355">
        <f>KTM!X65</f>
        <v>0</v>
      </c>
      <c r="K65" s="355">
        <f>IDK!X65</f>
        <v>0</v>
      </c>
      <c r="L65" s="355">
        <f>EKM!X65</f>
        <v>0</v>
      </c>
      <c r="M65" s="355">
        <f>TSR!X65</f>
        <v>0</v>
      </c>
      <c r="N65" s="355">
        <f>PLKD!X65</f>
        <v>0</v>
      </c>
      <c r="O65" s="355">
        <f>MLPM!X65</f>
        <v>0</v>
      </c>
      <c r="P65" s="355">
        <f>KKD!X65</f>
        <v>0</v>
      </c>
      <c r="Q65" s="355">
        <f>WYND!X65</f>
        <v>0</v>
      </c>
      <c r="R65" s="355">
        <f>KNR!X65</f>
        <v>0</v>
      </c>
      <c r="S65" s="355">
        <f>KSRGD!X65</f>
        <v>0</v>
      </c>
      <c r="T65" s="355">
        <f>SHS!X65</f>
        <v>0</v>
      </c>
      <c r="U65" s="22">
        <f t="shared" si="0"/>
        <v>0</v>
      </c>
    </row>
    <row r="66" spans="1:21" ht="47.25">
      <c r="A66" s="498"/>
      <c r="B66" s="496"/>
      <c r="C66" s="496"/>
      <c r="D66" s="43">
        <v>61</v>
      </c>
      <c r="E66" s="43" t="s">
        <v>44</v>
      </c>
      <c r="F66" s="355">
        <f>TVM!X66</f>
        <v>0</v>
      </c>
      <c r="G66" s="355">
        <f>KLM!X66</f>
        <v>0</v>
      </c>
      <c r="H66" s="355">
        <f>PTA!X66</f>
        <v>0</v>
      </c>
      <c r="I66" s="355">
        <f>ALP!X66</f>
        <v>0</v>
      </c>
      <c r="J66" s="355">
        <f>KTM!X66</f>
        <v>0</v>
      </c>
      <c r="K66" s="355">
        <f>IDK!X66</f>
        <v>0</v>
      </c>
      <c r="L66" s="355">
        <f>EKM!X66</f>
        <v>0</v>
      </c>
      <c r="M66" s="355">
        <f>TSR!X66</f>
        <v>0</v>
      </c>
      <c r="N66" s="355">
        <f>PLKD!X66</f>
        <v>0</v>
      </c>
      <c r="O66" s="355">
        <f>MLPM!X66</f>
        <v>0</v>
      </c>
      <c r="P66" s="355">
        <f>KKD!X66</f>
        <v>0</v>
      </c>
      <c r="Q66" s="355">
        <f>WYND!X66</f>
        <v>0</v>
      </c>
      <c r="R66" s="355">
        <f>KNR!X66</f>
        <v>0</v>
      </c>
      <c r="S66" s="355">
        <f>KSRGD!X66</f>
        <v>0</v>
      </c>
      <c r="T66" s="355">
        <f>SHS!X66</f>
        <v>0</v>
      </c>
      <c r="U66" s="22">
        <f t="shared" si="0"/>
        <v>0</v>
      </c>
    </row>
    <row r="67" spans="1:21" ht="173.25">
      <c r="A67" s="498"/>
      <c r="B67" s="43" t="s">
        <v>100</v>
      </c>
      <c r="C67" s="43" t="s">
        <v>101</v>
      </c>
      <c r="D67" s="43">
        <v>62</v>
      </c>
      <c r="E67" s="43" t="s">
        <v>102</v>
      </c>
      <c r="F67" s="355">
        <f>TVM!X67</f>
        <v>0</v>
      </c>
      <c r="G67" s="355">
        <f>KLM!X67</f>
        <v>0</v>
      </c>
      <c r="H67" s="355">
        <f>PTA!X67</f>
        <v>0</v>
      </c>
      <c r="I67" s="355">
        <f>ALP!X67</f>
        <v>0</v>
      </c>
      <c r="J67" s="355">
        <f>KTM!X67</f>
        <v>0</v>
      </c>
      <c r="K67" s="355">
        <f>IDK!X67</f>
        <v>0</v>
      </c>
      <c r="L67" s="355">
        <f>EKM!X67</f>
        <v>0</v>
      </c>
      <c r="M67" s="355">
        <f>TSR!X67</f>
        <v>0</v>
      </c>
      <c r="N67" s="355">
        <f>PLKD!X67</f>
        <v>0</v>
      </c>
      <c r="O67" s="355">
        <f>MLPM!X67</f>
        <v>0</v>
      </c>
      <c r="P67" s="355">
        <f>KKD!X67</f>
        <v>0</v>
      </c>
      <c r="Q67" s="355">
        <f>WYND!X67</f>
        <v>0</v>
      </c>
      <c r="R67" s="355">
        <f>KNR!X67</f>
        <v>0</v>
      </c>
      <c r="S67" s="355">
        <f>KSRGD!X67</f>
        <v>0</v>
      </c>
      <c r="T67" s="355">
        <f>SHS!X67</f>
        <v>21</v>
      </c>
      <c r="U67" s="22">
        <f t="shared" si="0"/>
        <v>21</v>
      </c>
    </row>
    <row r="68" spans="1:21" ht="45.75" customHeight="1">
      <c r="A68" s="496"/>
      <c r="B68" s="500" t="s">
        <v>103</v>
      </c>
      <c r="C68" s="489"/>
      <c r="D68" s="490"/>
      <c r="E68" s="59"/>
      <c r="F68" s="459">
        <f>TVM!X68</f>
        <v>860.82533000000012</v>
      </c>
      <c r="G68" s="459">
        <f>KLM!X68</f>
        <v>525.94798999999989</v>
      </c>
      <c r="H68" s="459">
        <f>PTA!X68</f>
        <v>245.75806000000003</v>
      </c>
      <c r="I68" s="459">
        <f>ALP!X68</f>
        <v>402.36043999999998</v>
      </c>
      <c r="J68" s="459">
        <f>KTM!X68</f>
        <v>493.45846000000006</v>
      </c>
      <c r="K68" s="459">
        <f>IDK!X68</f>
        <v>254.44545000000002</v>
      </c>
      <c r="L68" s="459">
        <f>EKM!X68</f>
        <v>725.07689000000005</v>
      </c>
      <c r="M68" s="459">
        <f>TSR!X68</f>
        <v>700.93077999999991</v>
      </c>
      <c r="N68" s="459">
        <f>PLKD!X68</f>
        <v>541.78462000000002</v>
      </c>
      <c r="O68" s="459">
        <f>MLPM!X68</f>
        <v>1051.4167200000002</v>
      </c>
      <c r="P68" s="459">
        <f>KKD!X68</f>
        <v>903.73635000000013</v>
      </c>
      <c r="Q68" s="459">
        <f>WYND!X68</f>
        <v>344.51330000000002</v>
      </c>
      <c r="R68" s="459">
        <f>KNR!X68</f>
        <v>662.8115600000001</v>
      </c>
      <c r="S68" s="459">
        <f>KSRGD!X68</f>
        <v>244.19191000000001</v>
      </c>
      <c r="T68" s="459">
        <f>SHS!X68</f>
        <v>5433.6325812000005</v>
      </c>
      <c r="U68" s="459">
        <f t="shared" si="0"/>
        <v>13390.890441200001</v>
      </c>
    </row>
    <row r="69" spans="1:21" ht="126">
      <c r="A69" s="499" t="s">
        <v>104</v>
      </c>
      <c r="B69" s="43" t="s">
        <v>105</v>
      </c>
      <c r="C69" s="43" t="s">
        <v>106</v>
      </c>
      <c r="D69" s="43">
        <v>63</v>
      </c>
      <c r="E69" s="43" t="s">
        <v>107</v>
      </c>
      <c r="F69" s="355">
        <f>TVM!X69</f>
        <v>1.5</v>
      </c>
      <c r="G69" s="355">
        <f>KLM!X69</f>
        <v>1.5</v>
      </c>
      <c r="H69" s="355">
        <f>PTA!X69</f>
        <v>0.5</v>
      </c>
      <c r="I69" s="355">
        <f>ALP!X69</f>
        <v>1.5</v>
      </c>
      <c r="J69" s="355">
        <f>KTM!X69</f>
        <v>1.5</v>
      </c>
      <c r="K69" s="355">
        <f>IDK!X69</f>
        <v>0.5</v>
      </c>
      <c r="L69" s="355">
        <f>EKM!X69</f>
        <v>1.5</v>
      </c>
      <c r="M69" s="355">
        <f>TSR!X69</f>
        <v>1.5</v>
      </c>
      <c r="N69" s="355">
        <f>PLKD!X69</f>
        <v>1.5</v>
      </c>
      <c r="O69" s="355">
        <f>MLPM!X69</f>
        <v>1.5</v>
      </c>
      <c r="P69" s="355">
        <f>KKD!X69</f>
        <v>1.5</v>
      </c>
      <c r="Q69" s="355">
        <f>WYND!X69</f>
        <v>0.5</v>
      </c>
      <c r="R69" s="355">
        <f>KNR!X69</f>
        <v>1.5</v>
      </c>
      <c r="S69" s="355">
        <f>KSRGD!X69</f>
        <v>0.5</v>
      </c>
      <c r="T69" s="355">
        <f>SHS!X69</f>
        <v>1</v>
      </c>
      <c r="U69" s="22">
        <f t="shared" si="0"/>
        <v>18</v>
      </c>
    </row>
    <row r="70" spans="1:21">
      <c r="A70" s="498"/>
      <c r="B70" s="497" t="s">
        <v>108</v>
      </c>
      <c r="C70" s="497" t="s">
        <v>109</v>
      </c>
      <c r="D70" s="43">
        <v>64</v>
      </c>
      <c r="E70" s="43" t="s">
        <v>110</v>
      </c>
      <c r="F70" s="355">
        <f>TVM!X70</f>
        <v>2.2200000000000002</v>
      </c>
      <c r="G70" s="355">
        <f>KLM!X70</f>
        <v>1.7000000000000002</v>
      </c>
      <c r="H70" s="355">
        <f>PTA!X70</f>
        <v>0.82000000000000006</v>
      </c>
      <c r="I70" s="355">
        <f>ALP!X70</f>
        <v>1.46</v>
      </c>
      <c r="J70" s="355">
        <f>KTM!X70</f>
        <v>1.19</v>
      </c>
      <c r="K70" s="355">
        <f>IDK!X70</f>
        <v>3.37</v>
      </c>
      <c r="L70" s="355">
        <f>EKM!X70</f>
        <v>2.7199999999999998</v>
      </c>
      <c r="M70" s="355">
        <f>TSR!X70</f>
        <v>2.0099999999999998</v>
      </c>
      <c r="N70" s="355">
        <f>PLKD!X70</f>
        <v>1.7400000000000002</v>
      </c>
      <c r="O70" s="355">
        <f>MLPM!X70</f>
        <v>2.0300000000000002</v>
      </c>
      <c r="P70" s="355">
        <f>KKD!X70</f>
        <v>2.7</v>
      </c>
      <c r="Q70" s="355">
        <f>WYND!X70</f>
        <v>0.75</v>
      </c>
      <c r="R70" s="355">
        <f>KNR!X70</f>
        <v>1.76</v>
      </c>
      <c r="S70" s="355">
        <f>KSRGD!X70</f>
        <v>1.41</v>
      </c>
      <c r="T70" s="355">
        <f>SHS!X70</f>
        <v>17.579999999999998</v>
      </c>
      <c r="U70" s="22">
        <f t="shared" si="0"/>
        <v>43.46</v>
      </c>
    </row>
    <row r="71" spans="1:21">
      <c r="A71" s="498"/>
      <c r="B71" s="498"/>
      <c r="C71" s="498"/>
      <c r="D71" s="43">
        <v>65</v>
      </c>
      <c r="E71" s="43" t="s">
        <v>111</v>
      </c>
      <c r="F71" s="355">
        <f>TVM!X71</f>
        <v>0.25</v>
      </c>
      <c r="G71" s="355">
        <f>KLM!X71</f>
        <v>0.25</v>
      </c>
      <c r="H71" s="355">
        <f>PTA!X71</f>
        <v>0.25</v>
      </c>
      <c r="I71" s="355">
        <f>ALP!X71</f>
        <v>0.25</v>
      </c>
      <c r="J71" s="355">
        <f>KTM!X71</f>
        <v>0.25</v>
      </c>
      <c r="K71" s="355">
        <f>IDK!X71</f>
        <v>0.25</v>
      </c>
      <c r="L71" s="355">
        <f>EKM!X71</f>
        <v>0.25</v>
      </c>
      <c r="M71" s="355">
        <f>TSR!X71</f>
        <v>0.25</v>
      </c>
      <c r="N71" s="355">
        <f>PLKD!X71</f>
        <v>0.25</v>
      </c>
      <c r="O71" s="355">
        <f>MLPM!X71</f>
        <v>0.25</v>
      </c>
      <c r="P71" s="355">
        <f>KKD!X71</f>
        <v>0.25</v>
      </c>
      <c r="Q71" s="355">
        <f>WYND!X71</f>
        <v>0.25</v>
      </c>
      <c r="R71" s="355">
        <f>KNR!X71</f>
        <v>0.25</v>
      </c>
      <c r="S71" s="355">
        <f>KSRGD!X71</f>
        <v>0.25</v>
      </c>
      <c r="T71" s="355">
        <f>SHS!X71</f>
        <v>0.25</v>
      </c>
      <c r="U71" s="22">
        <f t="shared" ref="U71:U134" si="1">SUM(F71:T71)</f>
        <v>3.75</v>
      </c>
    </row>
    <row r="72" spans="1:21">
      <c r="A72" s="498"/>
      <c r="B72" s="498"/>
      <c r="C72" s="498"/>
      <c r="D72" s="43">
        <v>66</v>
      </c>
      <c r="E72" s="43" t="s">
        <v>112</v>
      </c>
      <c r="F72" s="355">
        <f>TVM!X72</f>
        <v>0.09</v>
      </c>
      <c r="G72" s="355">
        <f>KLM!X72</f>
        <v>0.09</v>
      </c>
      <c r="H72" s="355">
        <f>PTA!X72</f>
        <v>0.09</v>
      </c>
      <c r="I72" s="355">
        <f>ALP!X72</f>
        <v>0.09</v>
      </c>
      <c r="J72" s="355">
        <f>KTM!X72</f>
        <v>0.09</v>
      </c>
      <c r="K72" s="355">
        <f>IDK!X72</f>
        <v>0.09</v>
      </c>
      <c r="L72" s="355">
        <f>EKM!X72</f>
        <v>0.09</v>
      </c>
      <c r="M72" s="355">
        <f>TSR!X72</f>
        <v>0.09</v>
      </c>
      <c r="N72" s="355">
        <f>PLKD!X72</f>
        <v>0.09</v>
      </c>
      <c r="O72" s="355">
        <f>MLPM!X72</f>
        <v>0.09</v>
      </c>
      <c r="P72" s="355">
        <f>KKD!X72</f>
        <v>0.09</v>
      </c>
      <c r="Q72" s="355">
        <f>WYND!X72</f>
        <v>0.09</v>
      </c>
      <c r="R72" s="355">
        <f>KNR!X72</f>
        <v>0.09</v>
      </c>
      <c r="S72" s="355">
        <f>KSRGD!X72</f>
        <v>0.09</v>
      </c>
      <c r="T72" s="355">
        <f>SHS!X72</f>
        <v>9</v>
      </c>
      <c r="U72" s="22">
        <f t="shared" si="1"/>
        <v>10.26</v>
      </c>
    </row>
    <row r="73" spans="1:21" ht="31.5">
      <c r="A73" s="498"/>
      <c r="B73" s="498"/>
      <c r="C73" s="498"/>
      <c r="D73" s="43">
        <v>67</v>
      </c>
      <c r="E73" s="43" t="s">
        <v>113</v>
      </c>
      <c r="F73" s="355">
        <f>TVM!X73</f>
        <v>72.45</v>
      </c>
      <c r="G73" s="355">
        <f>KLM!X73</f>
        <v>36.74</v>
      </c>
      <c r="H73" s="355">
        <f>PTA!X73</f>
        <v>20.76</v>
      </c>
      <c r="I73" s="355">
        <f>ALP!X73</f>
        <v>31.45</v>
      </c>
      <c r="J73" s="355">
        <f>KTM!X73</f>
        <v>30.95</v>
      </c>
      <c r="K73" s="355">
        <f>IDK!X73</f>
        <v>20.010000000000002</v>
      </c>
      <c r="L73" s="355">
        <f>EKM!X73</f>
        <v>69.97</v>
      </c>
      <c r="M73" s="355">
        <f>TSR!X73</f>
        <v>35.590000000000003</v>
      </c>
      <c r="N73" s="355">
        <f>PLKD!X73</f>
        <v>35.49</v>
      </c>
      <c r="O73" s="355">
        <f>MLPM!X73</f>
        <v>35.840000000000003</v>
      </c>
      <c r="P73" s="355">
        <f>KKD!X73</f>
        <v>69.97</v>
      </c>
      <c r="Q73" s="355">
        <f>WYND!X73</f>
        <v>16.369999999999997</v>
      </c>
      <c r="R73" s="355">
        <f>KNR!X73</f>
        <v>34.28</v>
      </c>
      <c r="S73" s="355">
        <f>KSRGD!X73</f>
        <v>30.83</v>
      </c>
      <c r="T73" s="355">
        <f>SHS!X73</f>
        <v>117.91999999999999</v>
      </c>
      <c r="U73" s="22">
        <f t="shared" si="1"/>
        <v>658.62</v>
      </c>
    </row>
    <row r="74" spans="1:21">
      <c r="A74" s="498"/>
      <c r="B74" s="496"/>
      <c r="C74" s="496"/>
      <c r="D74" s="43">
        <v>68</v>
      </c>
      <c r="E74" s="43" t="s">
        <v>114</v>
      </c>
      <c r="F74" s="355">
        <f>TVM!X74</f>
        <v>8.08</v>
      </c>
      <c r="G74" s="355">
        <f>KLM!X74</f>
        <v>4.08</v>
      </c>
      <c r="H74" s="355">
        <f>PTA!X74</f>
        <v>0.36</v>
      </c>
      <c r="I74" s="355">
        <f>ALP!X74</f>
        <v>20.799999999999997</v>
      </c>
      <c r="J74" s="355">
        <f>KTM!X74</f>
        <v>2.44</v>
      </c>
      <c r="K74" s="355">
        <f>IDK!X74</f>
        <v>7.0000000000000007E-2</v>
      </c>
      <c r="L74" s="355">
        <f>EKM!X74</f>
        <v>4.37</v>
      </c>
      <c r="M74" s="355">
        <f>TSR!X74</f>
        <v>2.91</v>
      </c>
      <c r="N74" s="355">
        <f>PLKD!X74</f>
        <v>12.059999999999999</v>
      </c>
      <c r="O74" s="355">
        <f>MLPM!X74</f>
        <v>24.67</v>
      </c>
      <c r="P74" s="355">
        <f>KKD!X74</f>
        <v>7.49</v>
      </c>
      <c r="Q74" s="355">
        <f>WYND!X74</f>
        <v>0.14000000000000001</v>
      </c>
      <c r="R74" s="355">
        <f>KNR!X74</f>
        <v>5.92</v>
      </c>
      <c r="S74" s="355">
        <f>KSRGD!X74</f>
        <v>3.1900000000000004</v>
      </c>
      <c r="T74" s="355">
        <f>SHS!X74</f>
        <v>0</v>
      </c>
      <c r="U74" s="22">
        <f t="shared" si="1"/>
        <v>96.579999999999984</v>
      </c>
    </row>
    <row r="75" spans="1:21" ht="31.5">
      <c r="A75" s="498"/>
      <c r="B75" s="497" t="s">
        <v>115</v>
      </c>
      <c r="C75" s="497" t="s">
        <v>116</v>
      </c>
      <c r="D75" s="43">
        <v>69</v>
      </c>
      <c r="E75" s="43" t="s">
        <v>117</v>
      </c>
      <c r="F75" s="355">
        <f>TVM!X75</f>
        <v>129.94900000000001</v>
      </c>
      <c r="G75" s="355">
        <f>KLM!X75</f>
        <v>45.751000000000012</v>
      </c>
      <c r="H75" s="355">
        <f>PTA!X75</f>
        <v>63.617000000000004</v>
      </c>
      <c r="I75" s="355">
        <f>ALP!X75</f>
        <v>87.927000000000021</v>
      </c>
      <c r="J75" s="355">
        <f>KTM!X75</f>
        <v>36.822000000000003</v>
      </c>
      <c r="K75" s="355">
        <f>IDK!X75</f>
        <v>73.745400000000004</v>
      </c>
      <c r="L75" s="355">
        <f>EKM!X75</f>
        <v>117.80199999999999</v>
      </c>
      <c r="M75" s="355">
        <f>TSR!X75</f>
        <v>133.85300000000001</v>
      </c>
      <c r="N75" s="355">
        <f>PLKD!X75</f>
        <v>114.80600000000001</v>
      </c>
      <c r="O75" s="355">
        <f>MLPM!X75</f>
        <v>267.262</v>
      </c>
      <c r="P75" s="355">
        <f>KKD!X75</f>
        <v>94.230000000000018</v>
      </c>
      <c r="Q75" s="355">
        <f>WYND!X75</f>
        <v>30.399000000000004</v>
      </c>
      <c r="R75" s="355">
        <f>KNR!X75</f>
        <v>115.93900000000001</v>
      </c>
      <c r="S75" s="355">
        <f>KSRGD!X75</f>
        <v>37.786000000000001</v>
      </c>
      <c r="T75" s="355">
        <f>SHS!X75</f>
        <v>2</v>
      </c>
      <c r="U75" s="22">
        <f t="shared" si="1"/>
        <v>1351.8884000000003</v>
      </c>
    </row>
    <row r="76" spans="1:21" ht="47.25">
      <c r="A76" s="498"/>
      <c r="B76" s="498"/>
      <c r="C76" s="498"/>
      <c r="D76" s="43">
        <v>70</v>
      </c>
      <c r="E76" s="43" t="s">
        <v>118</v>
      </c>
      <c r="F76" s="355">
        <f>TVM!X76</f>
        <v>3.72</v>
      </c>
      <c r="G76" s="355">
        <f>KLM!X76</f>
        <v>1.27</v>
      </c>
      <c r="H76" s="355">
        <f>PTA!X76</f>
        <v>1.2040000000000002</v>
      </c>
      <c r="I76" s="355">
        <f>ALP!X76</f>
        <v>1.2120000000000002</v>
      </c>
      <c r="J76" s="355">
        <f>KTM!X76</f>
        <v>1.2100000000000002</v>
      </c>
      <c r="K76" s="355">
        <f>IDK!X76</f>
        <v>1.1740000000000002</v>
      </c>
      <c r="L76" s="355">
        <f>EKM!X76</f>
        <v>1.222</v>
      </c>
      <c r="M76" s="355">
        <f>TSR!X76</f>
        <v>1.28</v>
      </c>
      <c r="N76" s="355">
        <f>PLKD!X76</f>
        <v>1.3900000000000001</v>
      </c>
      <c r="O76" s="355">
        <f>MLPM!X76</f>
        <v>1.286</v>
      </c>
      <c r="P76" s="355">
        <f>KKD!X76</f>
        <v>1.2270000000000001</v>
      </c>
      <c r="Q76" s="355">
        <f>WYND!X76</f>
        <v>1.1540000000000001</v>
      </c>
      <c r="R76" s="355">
        <f>KNR!X76</f>
        <v>1.2410000000000001</v>
      </c>
      <c r="S76" s="355">
        <f>KSRGD!X76</f>
        <v>1.2100000000000002</v>
      </c>
      <c r="T76" s="355">
        <f>SHS!X76</f>
        <v>0</v>
      </c>
      <c r="U76" s="22">
        <f t="shared" si="1"/>
        <v>19.8</v>
      </c>
    </row>
    <row r="77" spans="1:21">
      <c r="A77" s="498"/>
      <c r="B77" s="498"/>
      <c r="C77" s="498"/>
      <c r="D77" s="43">
        <v>71</v>
      </c>
      <c r="E77" s="43" t="s">
        <v>119</v>
      </c>
      <c r="F77" s="355">
        <f>TVM!X77</f>
        <v>0</v>
      </c>
      <c r="G77" s="355">
        <f>KLM!X77</f>
        <v>0</v>
      </c>
      <c r="H77" s="355">
        <f>PTA!X77</f>
        <v>0</v>
      </c>
      <c r="I77" s="355">
        <f>ALP!X77</f>
        <v>0</v>
      </c>
      <c r="J77" s="355">
        <f>KTM!X77</f>
        <v>0</v>
      </c>
      <c r="K77" s="355">
        <f>IDK!X77</f>
        <v>0</v>
      </c>
      <c r="L77" s="355">
        <f>EKM!X77</f>
        <v>0</v>
      </c>
      <c r="M77" s="355">
        <f>TSR!X77</f>
        <v>0</v>
      </c>
      <c r="N77" s="355">
        <f>PLKD!X77</f>
        <v>0</v>
      </c>
      <c r="O77" s="355">
        <f>MLPM!X77</f>
        <v>0</v>
      </c>
      <c r="P77" s="355">
        <f>KKD!X77</f>
        <v>0</v>
      </c>
      <c r="Q77" s="355">
        <f>WYND!X77</f>
        <v>0</v>
      </c>
      <c r="R77" s="355">
        <f>KNR!X77</f>
        <v>0</v>
      </c>
      <c r="S77" s="355">
        <f>KSRGD!X77</f>
        <v>0</v>
      </c>
      <c r="T77" s="355">
        <f>SHS!X77</f>
        <v>0</v>
      </c>
      <c r="U77" s="22">
        <f t="shared" si="1"/>
        <v>0</v>
      </c>
    </row>
    <row r="78" spans="1:21" ht="31.5">
      <c r="A78" s="498"/>
      <c r="B78" s="496"/>
      <c r="C78" s="496"/>
      <c r="D78" s="43">
        <v>72</v>
      </c>
      <c r="E78" s="43" t="s">
        <v>120</v>
      </c>
      <c r="F78" s="355">
        <f>TVM!X78</f>
        <v>8</v>
      </c>
      <c r="G78" s="355">
        <f>KLM!X78</f>
        <v>0</v>
      </c>
      <c r="H78" s="355">
        <f>PTA!X78</f>
        <v>0</v>
      </c>
      <c r="I78" s="355">
        <f>ALP!X78</f>
        <v>0</v>
      </c>
      <c r="J78" s="355">
        <f>KTM!X78</f>
        <v>0</v>
      </c>
      <c r="K78" s="355">
        <f>IDK!X78</f>
        <v>0</v>
      </c>
      <c r="L78" s="355">
        <f>EKM!X78</f>
        <v>0</v>
      </c>
      <c r="M78" s="355">
        <f>TSR!X78</f>
        <v>0</v>
      </c>
      <c r="N78" s="355">
        <f>PLKD!X78</f>
        <v>0</v>
      </c>
      <c r="O78" s="355">
        <f>MLPM!X78</f>
        <v>0</v>
      </c>
      <c r="P78" s="355">
        <f>KKD!X78</f>
        <v>0</v>
      </c>
      <c r="Q78" s="355">
        <f>WYND!X78</f>
        <v>0</v>
      </c>
      <c r="R78" s="355">
        <f>KNR!X78</f>
        <v>0</v>
      </c>
      <c r="S78" s="355">
        <f>KSRGD!X78</f>
        <v>0</v>
      </c>
      <c r="T78" s="355">
        <f>SHS!X78</f>
        <v>0</v>
      </c>
      <c r="U78" s="22">
        <f t="shared" si="1"/>
        <v>8</v>
      </c>
    </row>
    <row r="79" spans="1:21" ht="31.5">
      <c r="A79" s="498"/>
      <c r="B79" s="497" t="s">
        <v>121</v>
      </c>
      <c r="C79" s="497" t="s">
        <v>122</v>
      </c>
      <c r="D79" s="43">
        <v>73</v>
      </c>
      <c r="E79" s="43" t="s">
        <v>123</v>
      </c>
      <c r="F79" s="355">
        <f>TVM!X79</f>
        <v>24.5</v>
      </c>
      <c r="G79" s="355">
        <f>KLM!X79</f>
        <v>19.8</v>
      </c>
      <c r="H79" s="355">
        <f>PTA!X79</f>
        <v>16.399999999999999</v>
      </c>
      <c r="I79" s="355">
        <f>ALP!X79</f>
        <v>19.399999999999999</v>
      </c>
      <c r="J79" s="355">
        <f>KTM!X79</f>
        <v>20.100000000000001</v>
      </c>
      <c r="K79" s="355">
        <f>IDK!X79</f>
        <v>16.5</v>
      </c>
      <c r="L79" s="355">
        <f>EKM!X79</f>
        <v>23.7</v>
      </c>
      <c r="M79" s="355">
        <f>TSR!X79</f>
        <v>20.700000000000003</v>
      </c>
      <c r="N79" s="355">
        <f>PLKD!X79</f>
        <v>18.5</v>
      </c>
      <c r="O79" s="355">
        <f>MLPM!X79</f>
        <v>22.8</v>
      </c>
      <c r="P79" s="355">
        <f>KKD!X79</f>
        <v>21.599999999999998</v>
      </c>
      <c r="Q79" s="355">
        <f>WYND!X79</f>
        <v>17.899999999999999</v>
      </c>
      <c r="R79" s="355">
        <f>KNR!X79</f>
        <v>21.4</v>
      </c>
      <c r="S79" s="355">
        <f>KSRGD!X79</f>
        <v>16.899999999999999</v>
      </c>
      <c r="T79" s="355">
        <f>SHS!X79</f>
        <v>582.09999999999991</v>
      </c>
      <c r="U79" s="22">
        <f t="shared" si="1"/>
        <v>862.29999999999984</v>
      </c>
    </row>
    <row r="80" spans="1:21" ht="31.5">
      <c r="A80" s="498"/>
      <c r="B80" s="498"/>
      <c r="C80" s="498"/>
      <c r="D80" s="43">
        <v>74</v>
      </c>
      <c r="E80" s="43" t="s">
        <v>124</v>
      </c>
      <c r="F80" s="355">
        <f>TVM!X80</f>
        <v>81</v>
      </c>
      <c r="G80" s="355">
        <f>KLM!X80</f>
        <v>70</v>
      </c>
      <c r="H80" s="355">
        <f>PTA!X80</f>
        <v>61</v>
      </c>
      <c r="I80" s="355">
        <f>ALP!X80</f>
        <v>67</v>
      </c>
      <c r="J80" s="355">
        <f>KTM!X80</f>
        <v>67</v>
      </c>
      <c r="K80" s="355">
        <f>IDK!X80</f>
        <v>58</v>
      </c>
      <c r="L80" s="355">
        <f>EKM!X80</f>
        <v>79</v>
      </c>
      <c r="M80" s="355">
        <f>TSR!X80</f>
        <v>74</v>
      </c>
      <c r="N80" s="355">
        <f>PLKD!X80</f>
        <v>72</v>
      </c>
      <c r="O80" s="355">
        <f>MLPM!X80</f>
        <v>78</v>
      </c>
      <c r="P80" s="355">
        <f>KKD!X80</f>
        <v>76</v>
      </c>
      <c r="Q80" s="355">
        <f>WYND!X80</f>
        <v>56.6</v>
      </c>
      <c r="R80" s="355">
        <f>KNR!X80</f>
        <v>72</v>
      </c>
      <c r="S80" s="355">
        <f>KSRGD!X80</f>
        <v>58</v>
      </c>
      <c r="T80" s="355">
        <f>SHS!X80</f>
        <v>0</v>
      </c>
      <c r="U80" s="22">
        <f t="shared" si="1"/>
        <v>969.6</v>
      </c>
    </row>
    <row r="81" spans="1:21">
      <c r="A81" s="498"/>
      <c r="B81" s="498"/>
      <c r="C81" s="498"/>
      <c r="D81" s="43">
        <v>75</v>
      </c>
      <c r="E81" s="43" t="s">
        <v>125</v>
      </c>
      <c r="F81" s="355">
        <f>TVM!X81</f>
        <v>5.6</v>
      </c>
      <c r="G81" s="355">
        <f>KLM!X81</f>
        <v>3.4</v>
      </c>
      <c r="H81" s="355">
        <f>PTA!X81</f>
        <v>2.6</v>
      </c>
      <c r="I81" s="355">
        <f>ALP!X81</f>
        <v>3.3</v>
      </c>
      <c r="J81" s="355">
        <f>KTM!X81</f>
        <v>3.35</v>
      </c>
      <c r="K81" s="355">
        <f>IDK!X81</f>
        <v>3.4000000000000004</v>
      </c>
      <c r="L81" s="355">
        <f>EKM!X81</f>
        <v>5.4</v>
      </c>
      <c r="M81" s="355">
        <f>TSR!X81</f>
        <v>4.0999999999999996</v>
      </c>
      <c r="N81" s="355">
        <f>PLKD!X81</f>
        <v>3.9</v>
      </c>
      <c r="O81" s="355">
        <f>MLPM!X81</f>
        <v>5.0999999999999996</v>
      </c>
      <c r="P81" s="355">
        <f>KKD!X81</f>
        <v>5</v>
      </c>
      <c r="Q81" s="355">
        <f>WYND!X81</f>
        <v>2.7</v>
      </c>
      <c r="R81" s="355">
        <f>KNR!X81</f>
        <v>4.9000000000000004</v>
      </c>
      <c r="S81" s="355">
        <f>KSRGD!X81</f>
        <v>2.4</v>
      </c>
      <c r="T81" s="355">
        <f>SHS!X81</f>
        <v>139.75</v>
      </c>
      <c r="U81" s="22">
        <f t="shared" si="1"/>
        <v>194.9</v>
      </c>
    </row>
    <row r="82" spans="1:21" ht="31.5">
      <c r="A82" s="498"/>
      <c r="B82" s="498"/>
      <c r="C82" s="498"/>
      <c r="D82" s="43">
        <v>76</v>
      </c>
      <c r="E82" s="43" t="s">
        <v>126</v>
      </c>
      <c r="F82" s="355">
        <f>TVM!X82</f>
        <v>4.4000000000000004</v>
      </c>
      <c r="G82" s="355">
        <f>KLM!X82</f>
        <v>3.4</v>
      </c>
      <c r="H82" s="355">
        <f>PTA!X82</f>
        <v>2.7</v>
      </c>
      <c r="I82" s="355">
        <f>ALP!X82</f>
        <v>3.2</v>
      </c>
      <c r="J82" s="355">
        <f>KTM!X82</f>
        <v>3.5</v>
      </c>
      <c r="K82" s="355">
        <f>IDK!X82</f>
        <v>2.7</v>
      </c>
      <c r="L82" s="355">
        <f>EKM!X82</f>
        <v>4.3</v>
      </c>
      <c r="M82" s="355">
        <f>TSR!X82</f>
        <v>3.8</v>
      </c>
      <c r="N82" s="355">
        <f>PLKD!X82</f>
        <v>3.5</v>
      </c>
      <c r="O82" s="355">
        <f>MLPM!X82</f>
        <v>4.5999999999999996</v>
      </c>
      <c r="P82" s="355">
        <f>KKD!X82</f>
        <v>4</v>
      </c>
      <c r="Q82" s="355">
        <f>WYND!X82</f>
        <v>2.5</v>
      </c>
      <c r="R82" s="355">
        <f>KNR!X82</f>
        <v>4.0999999999999996</v>
      </c>
      <c r="S82" s="355">
        <f>KSRGD!X82</f>
        <v>2.6</v>
      </c>
      <c r="T82" s="355">
        <f>SHS!X82</f>
        <v>99</v>
      </c>
      <c r="U82" s="22">
        <f t="shared" si="1"/>
        <v>148.30000000000001</v>
      </c>
    </row>
    <row r="83" spans="1:21" ht="31.5">
      <c r="A83" s="498"/>
      <c r="B83" s="498"/>
      <c r="C83" s="498"/>
      <c r="D83" s="43">
        <v>77</v>
      </c>
      <c r="E83" s="43" t="s">
        <v>127</v>
      </c>
      <c r="F83" s="355">
        <f>TVM!X83</f>
        <v>6.85</v>
      </c>
      <c r="G83" s="355">
        <f>KLM!X83</f>
        <v>5.75</v>
      </c>
      <c r="H83" s="355">
        <f>PTA!X83</f>
        <v>4.95</v>
      </c>
      <c r="I83" s="355">
        <f>ALP!X83</f>
        <v>5.35</v>
      </c>
      <c r="J83" s="355">
        <f>KTM!X83</f>
        <v>5.85</v>
      </c>
      <c r="K83" s="355">
        <f>IDK!X83</f>
        <v>4.95</v>
      </c>
      <c r="L83" s="355">
        <f>EKM!X83</f>
        <v>6.85</v>
      </c>
      <c r="M83" s="355">
        <f>TSR!X83</f>
        <v>5.85</v>
      </c>
      <c r="N83" s="355">
        <f>PLKD!X83</f>
        <v>5.7200000000000006</v>
      </c>
      <c r="O83" s="355">
        <f>MLPM!X83</f>
        <v>6.85</v>
      </c>
      <c r="P83" s="355">
        <f>KKD!X83</f>
        <v>55.55</v>
      </c>
      <c r="Q83" s="355">
        <f>WYND!X83</f>
        <v>4.75</v>
      </c>
      <c r="R83" s="355">
        <f>KNR!X83</f>
        <v>6.55</v>
      </c>
      <c r="S83" s="355">
        <f>KSRGD!X83</f>
        <v>4.95</v>
      </c>
      <c r="T83" s="355">
        <f>SHS!X83</f>
        <v>1692</v>
      </c>
      <c r="U83" s="22">
        <f t="shared" si="1"/>
        <v>1822.77</v>
      </c>
    </row>
    <row r="84" spans="1:21" ht="31.5">
      <c r="A84" s="498"/>
      <c r="B84" s="498"/>
      <c r="C84" s="498"/>
      <c r="D84" s="43">
        <v>78</v>
      </c>
      <c r="E84" s="43" t="s">
        <v>128</v>
      </c>
      <c r="F84" s="355">
        <f>TVM!X84</f>
        <v>0</v>
      </c>
      <c r="G84" s="355">
        <f>KLM!X84</f>
        <v>0</v>
      </c>
      <c r="H84" s="355">
        <f>PTA!X84</f>
        <v>0</v>
      </c>
      <c r="I84" s="355">
        <f>ALP!X84</f>
        <v>0</v>
      </c>
      <c r="J84" s="355">
        <f>KTM!X84</f>
        <v>0</v>
      </c>
      <c r="K84" s="355">
        <f>IDK!X84</f>
        <v>0</v>
      </c>
      <c r="L84" s="355">
        <f>EKM!X84</f>
        <v>0</v>
      </c>
      <c r="M84" s="355">
        <f>TSR!X84</f>
        <v>0</v>
      </c>
      <c r="N84" s="355">
        <f>PLKD!X84</f>
        <v>0</v>
      </c>
      <c r="O84" s="355">
        <f>MLPM!X84</f>
        <v>0</v>
      </c>
      <c r="P84" s="355">
        <f>KKD!X84</f>
        <v>0</v>
      </c>
      <c r="Q84" s="355">
        <f>WYND!X84</f>
        <v>0</v>
      </c>
      <c r="R84" s="355">
        <f>KNR!X84</f>
        <v>0</v>
      </c>
      <c r="S84" s="355">
        <f>KSRGD!X84</f>
        <v>0</v>
      </c>
      <c r="T84" s="355">
        <f>SHS!X84</f>
        <v>0</v>
      </c>
      <c r="U84" s="22">
        <f t="shared" si="1"/>
        <v>0</v>
      </c>
    </row>
    <row r="85" spans="1:21" ht="47.25">
      <c r="A85" s="498"/>
      <c r="B85" s="496"/>
      <c r="C85" s="496"/>
      <c r="D85" s="43">
        <v>79</v>
      </c>
      <c r="E85" s="43" t="s">
        <v>44</v>
      </c>
      <c r="F85" s="355">
        <f>TVM!X85</f>
        <v>0</v>
      </c>
      <c r="G85" s="355">
        <f>KLM!X85</f>
        <v>0</v>
      </c>
      <c r="H85" s="355">
        <f>PTA!X85</f>
        <v>0</v>
      </c>
      <c r="I85" s="355">
        <f>ALP!X85</f>
        <v>0</v>
      </c>
      <c r="J85" s="355">
        <f>KTM!X85</f>
        <v>0</v>
      </c>
      <c r="K85" s="355">
        <f>IDK!X85</f>
        <v>0</v>
      </c>
      <c r="L85" s="355">
        <f>EKM!X85</f>
        <v>0</v>
      </c>
      <c r="M85" s="355">
        <f>TSR!X85</f>
        <v>0</v>
      </c>
      <c r="N85" s="355">
        <f>PLKD!X85</f>
        <v>0</v>
      </c>
      <c r="O85" s="355">
        <f>MLPM!X85</f>
        <v>0</v>
      </c>
      <c r="P85" s="355">
        <f>KKD!X85</f>
        <v>0</v>
      </c>
      <c r="Q85" s="355">
        <f>WYND!X85</f>
        <v>0</v>
      </c>
      <c r="R85" s="355">
        <f>KNR!X85</f>
        <v>0</v>
      </c>
      <c r="S85" s="355">
        <f>KSRGD!X85</f>
        <v>0</v>
      </c>
      <c r="T85" s="355">
        <f>SHS!X85</f>
        <v>0</v>
      </c>
      <c r="U85" s="22">
        <f t="shared" si="1"/>
        <v>0</v>
      </c>
    </row>
    <row r="86" spans="1:21">
      <c r="A86" s="498"/>
      <c r="B86" s="497" t="s">
        <v>129</v>
      </c>
      <c r="C86" s="497" t="s">
        <v>130</v>
      </c>
      <c r="D86" s="43">
        <v>80</v>
      </c>
      <c r="E86" s="43" t="s">
        <v>131</v>
      </c>
      <c r="F86" s="355">
        <f>TVM!X86</f>
        <v>0</v>
      </c>
      <c r="G86" s="355">
        <f>KLM!X86</f>
        <v>0</v>
      </c>
      <c r="H86" s="355">
        <f>PTA!X86</f>
        <v>0</v>
      </c>
      <c r="I86" s="355">
        <f>ALP!X86</f>
        <v>0</v>
      </c>
      <c r="J86" s="355">
        <f>KTM!X86</f>
        <v>0</v>
      </c>
      <c r="K86" s="355">
        <f>IDK!X86</f>
        <v>0</v>
      </c>
      <c r="L86" s="355">
        <f>EKM!X86</f>
        <v>0</v>
      </c>
      <c r="M86" s="355">
        <f>TSR!X86</f>
        <v>0</v>
      </c>
      <c r="N86" s="355">
        <f>PLKD!X86</f>
        <v>0</v>
      </c>
      <c r="O86" s="355">
        <f>MLPM!X86</f>
        <v>0</v>
      </c>
      <c r="P86" s="355">
        <f>KKD!X86</f>
        <v>0</v>
      </c>
      <c r="Q86" s="355">
        <f>WYND!X86</f>
        <v>0</v>
      </c>
      <c r="R86" s="355">
        <f>KNR!X86</f>
        <v>0</v>
      </c>
      <c r="S86" s="355">
        <f>KSRGD!X86</f>
        <v>0</v>
      </c>
      <c r="T86" s="355">
        <f>SHS!X86</f>
        <v>9.66</v>
      </c>
      <c r="U86" s="22">
        <f t="shared" si="1"/>
        <v>9.66</v>
      </c>
    </row>
    <row r="87" spans="1:21" ht="47.25">
      <c r="A87" s="498"/>
      <c r="B87" s="498"/>
      <c r="C87" s="498"/>
      <c r="D87" s="43">
        <v>81</v>
      </c>
      <c r="E87" s="43" t="s">
        <v>132</v>
      </c>
      <c r="F87" s="355">
        <f>TVM!X87</f>
        <v>0</v>
      </c>
      <c r="G87" s="355">
        <f>KLM!X87</f>
        <v>0</v>
      </c>
      <c r="H87" s="355">
        <f>PTA!X87</f>
        <v>0</v>
      </c>
      <c r="I87" s="355">
        <f>ALP!X87</f>
        <v>0</v>
      </c>
      <c r="J87" s="355">
        <f>KTM!X87</f>
        <v>0</v>
      </c>
      <c r="K87" s="355">
        <f>IDK!X87</f>
        <v>0</v>
      </c>
      <c r="L87" s="355">
        <f>EKM!X87</f>
        <v>0</v>
      </c>
      <c r="M87" s="355">
        <f>TSR!X87</f>
        <v>0</v>
      </c>
      <c r="N87" s="355">
        <f>PLKD!X87</f>
        <v>0</v>
      </c>
      <c r="O87" s="355">
        <f>MLPM!X87</f>
        <v>0</v>
      </c>
      <c r="P87" s="355">
        <f>KKD!X87</f>
        <v>0</v>
      </c>
      <c r="Q87" s="355">
        <f>WYND!X87</f>
        <v>0</v>
      </c>
      <c r="R87" s="355">
        <f>KNR!X87</f>
        <v>0</v>
      </c>
      <c r="S87" s="355">
        <f>KSRGD!X87</f>
        <v>0</v>
      </c>
      <c r="T87" s="355">
        <f>SHS!X87</f>
        <v>280.46999999999997</v>
      </c>
      <c r="U87" s="22">
        <f t="shared" si="1"/>
        <v>280.46999999999997</v>
      </c>
    </row>
    <row r="88" spans="1:21" ht="47.25">
      <c r="A88" s="498"/>
      <c r="B88" s="498"/>
      <c r="C88" s="498"/>
      <c r="D88" s="43">
        <v>82</v>
      </c>
      <c r="E88" s="43" t="s">
        <v>133</v>
      </c>
      <c r="F88" s="355">
        <f>TVM!X88</f>
        <v>0.14000000000000001</v>
      </c>
      <c r="G88" s="355">
        <f>KLM!X88</f>
        <v>0.1</v>
      </c>
      <c r="H88" s="355">
        <f>PTA!X88</f>
        <v>0.1</v>
      </c>
      <c r="I88" s="355">
        <f>ALP!X88</f>
        <v>0.1</v>
      </c>
      <c r="J88" s="355">
        <f>KTM!X88</f>
        <v>0.1</v>
      </c>
      <c r="K88" s="355">
        <f>IDK!X88</f>
        <v>0.1</v>
      </c>
      <c r="L88" s="355">
        <f>EKM!X88</f>
        <v>0.14000000000000001</v>
      </c>
      <c r="M88" s="355">
        <f>TSR!X88</f>
        <v>0.1</v>
      </c>
      <c r="N88" s="355">
        <f>PLKD!X88</f>
        <v>0.1</v>
      </c>
      <c r="O88" s="355">
        <f>MLPM!X88</f>
        <v>0.12</v>
      </c>
      <c r="P88" s="355">
        <f>KKD!X88</f>
        <v>0.12</v>
      </c>
      <c r="Q88" s="355">
        <f>WYND!X88</f>
        <v>0.1</v>
      </c>
      <c r="R88" s="355">
        <f>KNR!X88</f>
        <v>0.1</v>
      </c>
      <c r="S88" s="355">
        <f>KSRGD!X88</f>
        <v>0.08</v>
      </c>
      <c r="T88" s="355">
        <f>SHS!X88</f>
        <v>0</v>
      </c>
      <c r="U88" s="22">
        <f t="shared" si="1"/>
        <v>1.5000000000000004</v>
      </c>
    </row>
    <row r="89" spans="1:21">
      <c r="A89" s="498"/>
      <c r="B89" s="496"/>
      <c r="C89" s="496"/>
      <c r="D89" s="43">
        <v>83</v>
      </c>
      <c r="E89" s="43" t="s">
        <v>134</v>
      </c>
      <c r="F89" s="355">
        <f>TVM!X89</f>
        <v>0.5</v>
      </c>
      <c r="G89" s="355">
        <f>KLM!X89</f>
        <v>0.5</v>
      </c>
      <c r="H89" s="355">
        <f>PTA!X89</f>
        <v>0.5</v>
      </c>
      <c r="I89" s="355">
        <f>ALP!X89</f>
        <v>0.5</v>
      </c>
      <c r="J89" s="355">
        <f>KTM!X89</f>
        <v>0.5</v>
      </c>
      <c r="K89" s="355">
        <f>IDK!X89</f>
        <v>0.5</v>
      </c>
      <c r="L89" s="355">
        <f>EKM!X89</f>
        <v>0.5</v>
      </c>
      <c r="M89" s="355">
        <f>TSR!X89</f>
        <v>0.5</v>
      </c>
      <c r="N89" s="355">
        <f>PLKD!X89</f>
        <v>0.5</v>
      </c>
      <c r="O89" s="355">
        <f>MLPM!X89</f>
        <v>0.5</v>
      </c>
      <c r="P89" s="355">
        <f>KKD!X89</f>
        <v>0.5</v>
      </c>
      <c r="Q89" s="355">
        <f>WYND!X89</f>
        <v>0.5</v>
      </c>
      <c r="R89" s="355">
        <f>KNR!X89</f>
        <v>0.5</v>
      </c>
      <c r="S89" s="355">
        <f>KSRGD!X89</f>
        <v>0.5</v>
      </c>
      <c r="T89" s="355">
        <f>SHS!X89</f>
        <v>5.13</v>
      </c>
      <c r="U89" s="22">
        <f t="shared" si="1"/>
        <v>12.129999999999999</v>
      </c>
    </row>
    <row r="90" spans="1:21" ht="94.5">
      <c r="A90" s="498"/>
      <c r="B90" s="43" t="s">
        <v>135</v>
      </c>
      <c r="C90" s="43" t="s">
        <v>136</v>
      </c>
      <c r="D90" s="43">
        <v>84</v>
      </c>
      <c r="E90" s="43" t="s">
        <v>137</v>
      </c>
      <c r="F90" s="355">
        <f>TVM!X90</f>
        <v>0</v>
      </c>
      <c r="G90" s="355">
        <f>KLM!X90</f>
        <v>0</v>
      </c>
      <c r="H90" s="355">
        <f>PTA!X90</f>
        <v>0</v>
      </c>
      <c r="I90" s="355">
        <f>ALP!X90</f>
        <v>0</v>
      </c>
      <c r="J90" s="355">
        <f>KTM!X90</f>
        <v>0</v>
      </c>
      <c r="K90" s="355">
        <f>IDK!X90</f>
        <v>0</v>
      </c>
      <c r="L90" s="355">
        <f>EKM!X90</f>
        <v>0</v>
      </c>
      <c r="M90" s="355">
        <f>TSR!X90</f>
        <v>0</v>
      </c>
      <c r="N90" s="355">
        <f>PLKD!X90</f>
        <v>0</v>
      </c>
      <c r="O90" s="355">
        <f>MLPM!X90</f>
        <v>0</v>
      </c>
      <c r="P90" s="355">
        <f>KKD!X90</f>
        <v>0</v>
      </c>
      <c r="Q90" s="355">
        <f>WYND!X90</f>
        <v>0</v>
      </c>
      <c r="R90" s="355">
        <f>KNR!X90</f>
        <v>0</v>
      </c>
      <c r="S90" s="355">
        <f>KSRGD!X90</f>
        <v>0</v>
      </c>
      <c r="T90" s="355">
        <f>SHS!X90</f>
        <v>0</v>
      </c>
      <c r="U90" s="22">
        <f t="shared" si="1"/>
        <v>0</v>
      </c>
    </row>
    <row r="91" spans="1:21" ht="141.75">
      <c r="A91" s="498"/>
      <c r="B91" s="43" t="s">
        <v>138</v>
      </c>
      <c r="C91" s="43" t="s">
        <v>139</v>
      </c>
      <c r="D91" s="43">
        <v>85</v>
      </c>
      <c r="E91" s="43" t="s">
        <v>140</v>
      </c>
      <c r="F91" s="355">
        <f>TVM!X91</f>
        <v>0</v>
      </c>
      <c r="G91" s="355">
        <f>KLM!X91</f>
        <v>0</v>
      </c>
      <c r="H91" s="355">
        <f>PTA!X91</f>
        <v>0</v>
      </c>
      <c r="I91" s="355">
        <f>ALP!X91</f>
        <v>0</v>
      </c>
      <c r="J91" s="355">
        <f>KTM!X91</f>
        <v>0</v>
      </c>
      <c r="K91" s="355">
        <f>IDK!X91</f>
        <v>0</v>
      </c>
      <c r="L91" s="355">
        <f>EKM!X91</f>
        <v>0</v>
      </c>
      <c r="M91" s="355">
        <f>TSR!X91</f>
        <v>0</v>
      </c>
      <c r="N91" s="355">
        <f>PLKD!X91</f>
        <v>0</v>
      </c>
      <c r="O91" s="355">
        <f>MLPM!X91</f>
        <v>0</v>
      </c>
      <c r="P91" s="355">
        <f>KKD!X91</f>
        <v>0</v>
      </c>
      <c r="Q91" s="355">
        <f>WYND!X91</f>
        <v>0</v>
      </c>
      <c r="R91" s="355">
        <f>KNR!X91</f>
        <v>0</v>
      </c>
      <c r="S91" s="355">
        <f>KSRGD!X91</f>
        <v>0</v>
      </c>
      <c r="T91" s="355">
        <f>SHS!X91</f>
        <v>23.580000000000002</v>
      </c>
      <c r="U91" s="22">
        <f t="shared" si="1"/>
        <v>23.580000000000002</v>
      </c>
    </row>
    <row r="92" spans="1:21" ht="94.5">
      <c r="A92" s="498"/>
      <c r="B92" s="43" t="s">
        <v>141</v>
      </c>
      <c r="C92" s="43" t="s">
        <v>44</v>
      </c>
      <c r="D92" s="43">
        <v>86</v>
      </c>
      <c r="E92" s="43" t="s">
        <v>142</v>
      </c>
      <c r="F92" s="355">
        <f>TVM!X92</f>
        <v>0</v>
      </c>
      <c r="G92" s="355">
        <f>KLM!X92</f>
        <v>0</v>
      </c>
      <c r="H92" s="355">
        <f>PTA!X92</f>
        <v>0</v>
      </c>
      <c r="I92" s="355">
        <f>ALP!X92</f>
        <v>0</v>
      </c>
      <c r="J92" s="355">
        <f>KTM!X92</f>
        <v>0</v>
      </c>
      <c r="K92" s="355">
        <f>IDK!X92</f>
        <v>0</v>
      </c>
      <c r="L92" s="355">
        <f>EKM!X92</f>
        <v>0</v>
      </c>
      <c r="M92" s="355">
        <f>TSR!X92</f>
        <v>0</v>
      </c>
      <c r="N92" s="355">
        <f>PLKD!X92</f>
        <v>0</v>
      </c>
      <c r="O92" s="355">
        <f>MLPM!X92</f>
        <v>0</v>
      </c>
      <c r="P92" s="355">
        <f>KKD!X92</f>
        <v>0</v>
      </c>
      <c r="Q92" s="355">
        <f>WYND!X92</f>
        <v>0</v>
      </c>
      <c r="R92" s="355">
        <f>KNR!X92</f>
        <v>0</v>
      </c>
      <c r="S92" s="355">
        <f>KSRGD!X92</f>
        <v>0</v>
      </c>
      <c r="T92" s="355">
        <f>SHS!X92</f>
        <v>0</v>
      </c>
      <c r="U92" s="22">
        <f t="shared" si="1"/>
        <v>0</v>
      </c>
    </row>
    <row r="93" spans="1:21">
      <c r="A93" s="496"/>
      <c r="B93" s="501" t="s">
        <v>143</v>
      </c>
      <c r="C93" s="489"/>
      <c r="D93" s="490"/>
      <c r="E93" s="43"/>
      <c r="F93" s="355">
        <f>TVM!X93</f>
        <v>349.24900000000002</v>
      </c>
      <c r="G93" s="355">
        <f>KLM!X93</f>
        <v>194.33100000000002</v>
      </c>
      <c r="H93" s="355">
        <f>PTA!X93</f>
        <v>175.851</v>
      </c>
      <c r="I93" s="355">
        <f>ALP!X93</f>
        <v>243.53900000000002</v>
      </c>
      <c r="J93" s="355">
        <f>KTM!X93</f>
        <v>174.852</v>
      </c>
      <c r="K93" s="355">
        <f>IDK!X93</f>
        <v>185.35939999999999</v>
      </c>
      <c r="L93" s="355">
        <f>EKM!X93</f>
        <v>317.81399999999996</v>
      </c>
      <c r="M93" s="355">
        <f>TSR!X93</f>
        <v>286.53299999999996</v>
      </c>
      <c r="N93" s="355">
        <f>PLKD!X93</f>
        <v>271.54600000000005</v>
      </c>
      <c r="O93" s="355">
        <f>MLPM!X93</f>
        <v>450.89800000000008</v>
      </c>
      <c r="P93" s="355">
        <f>KKD!X93</f>
        <v>340.22699999999998</v>
      </c>
      <c r="Q93" s="355">
        <f>WYND!X93</f>
        <v>134.703</v>
      </c>
      <c r="R93" s="355">
        <f>KNR!X93</f>
        <v>270.52999999999997</v>
      </c>
      <c r="S93" s="355">
        <f>KSRGD!X93</f>
        <v>160.69599999999997</v>
      </c>
      <c r="T93" s="355">
        <f>SHS!X93</f>
        <v>2979.4399999999996</v>
      </c>
      <c r="U93" s="22">
        <f t="shared" si="1"/>
        <v>6535.5684000000001</v>
      </c>
    </row>
    <row r="94" spans="1:21" s="460" customFormat="1" ht="31.5">
      <c r="A94" s="499" t="s">
        <v>144</v>
      </c>
      <c r="B94" s="497" t="s">
        <v>145</v>
      </c>
      <c r="C94" s="497" t="s">
        <v>146</v>
      </c>
      <c r="D94" s="43">
        <v>87</v>
      </c>
      <c r="E94" s="43" t="s">
        <v>147</v>
      </c>
      <c r="F94" s="355">
        <f>TVM!X94</f>
        <v>25</v>
      </c>
      <c r="G94" s="355">
        <f>KLM!X94</f>
        <v>25</v>
      </c>
      <c r="H94" s="355">
        <f>PTA!X94</f>
        <v>18</v>
      </c>
      <c r="I94" s="355">
        <f>ALP!X94</f>
        <v>20</v>
      </c>
      <c r="J94" s="355">
        <f>KTM!X94</f>
        <v>25</v>
      </c>
      <c r="K94" s="355">
        <f>IDK!X94</f>
        <v>15</v>
      </c>
      <c r="L94" s="355">
        <f>EKM!X94</f>
        <v>22</v>
      </c>
      <c r="M94" s="355">
        <f>TSR!X94</f>
        <v>20</v>
      </c>
      <c r="N94" s="355">
        <f>PLKD!X94</f>
        <v>15</v>
      </c>
      <c r="O94" s="355">
        <f>MLPM!X94</f>
        <v>24</v>
      </c>
      <c r="P94" s="355">
        <f>KKD!X94</f>
        <v>18</v>
      </c>
      <c r="Q94" s="355">
        <f>WYND!X94</f>
        <v>14</v>
      </c>
      <c r="R94" s="355">
        <f>KNR!X94</f>
        <v>24</v>
      </c>
      <c r="S94" s="355">
        <f>KSRGD!X94</f>
        <v>10</v>
      </c>
      <c r="T94" s="355">
        <f>SHS!X94</f>
        <v>0</v>
      </c>
      <c r="U94" s="22">
        <f t="shared" si="1"/>
        <v>275</v>
      </c>
    </row>
    <row r="95" spans="1:21" ht="31.5">
      <c r="A95" s="498"/>
      <c r="B95" s="498"/>
      <c r="C95" s="498"/>
      <c r="D95" s="43">
        <v>88</v>
      </c>
      <c r="E95" s="43" t="s">
        <v>148</v>
      </c>
      <c r="F95" s="355">
        <f>TVM!X95</f>
        <v>20</v>
      </c>
      <c r="G95" s="355">
        <f>KLM!X95</f>
        <v>28</v>
      </c>
      <c r="H95" s="355">
        <f>PTA!X95</f>
        <v>7</v>
      </c>
      <c r="I95" s="355">
        <f>ALP!X95</f>
        <v>18</v>
      </c>
      <c r="J95" s="355">
        <f>KTM!X95</f>
        <v>1</v>
      </c>
      <c r="K95" s="355">
        <f>IDK!X95</f>
        <v>11</v>
      </c>
      <c r="L95" s="355">
        <f>EKM!X95</f>
        <v>25</v>
      </c>
      <c r="M95" s="355">
        <f>TSR!X95</f>
        <v>6</v>
      </c>
      <c r="N95" s="355">
        <f>PLKD!X95</f>
        <v>23</v>
      </c>
      <c r="O95" s="355">
        <f>MLPM!X95</f>
        <v>2</v>
      </c>
      <c r="P95" s="355">
        <f>KKD!X95</f>
        <v>8</v>
      </c>
      <c r="Q95" s="355">
        <f>WYND!X95</f>
        <v>4</v>
      </c>
      <c r="R95" s="355">
        <f>KNR!X95</f>
        <v>11</v>
      </c>
      <c r="S95" s="355">
        <f>KSRGD!X95</f>
        <v>6</v>
      </c>
      <c r="T95" s="355">
        <f>SHS!X95</f>
        <v>0</v>
      </c>
      <c r="U95" s="22">
        <f t="shared" si="1"/>
        <v>170</v>
      </c>
    </row>
    <row r="96" spans="1:21" ht="47.25">
      <c r="A96" s="498"/>
      <c r="B96" s="498"/>
      <c r="C96" s="498"/>
      <c r="D96" s="43">
        <v>89</v>
      </c>
      <c r="E96" s="43" t="s">
        <v>149</v>
      </c>
      <c r="F96" s="355">
        <f>TVM!X96</f>
        <v>0</v>
      </c>
      <c r="G96" s="355">
        <f>KLM!X96</f>
        <v>0</v>
      </c>
      <c r="H96" s="355">
        <f>PTA!X96</f>
        <v>0</v>
      </c>
      <c r="I96" s="355">
        <f>ALP!X96</f>
        <v>0</v>
      </c>
      <c r="J96" s="355">
        <f>KTM!X96</f>
        <v>0</v>
      </c>
      <c r="K96" s="355">
        <f>IDK!X96</f>
        <v>0</v>
      </c>
      <c r="L96" s="355">
        <f>EKM!X96</f>
        <v>0</v>
      </c>
      <c r="M96" s="355">
        <f>TSR!X96</f>
        <v>0</v>
      </c>
      <c r="N96" s="355">
        <f>PLKD!X96</f>
        <v>0</v>
      </c>
      <c r="O96" s="355">
        <f>MLPM!X96</f>
        <v>0</v>
      </c>
      <c r="P96" s="355">
        <f>KKD!X96</f>
        <v>0</v>
      </c>
      <c r="Q96" s="355">
        <f>WYND!X96</f>
        <v>0</v>
      </c>
      <c r="R96" s="355">
        <f>KNR!X96</f>
        <v>0</v>
      </c>
      <c r="S96" s="355">
        <f>KSRGD!X96</f>
        <v>0</v>
      </c>
      <c r="T96" s="355">
        <f>SHS!X96</f>
        <v>0</v>
      </c>
      <c r="U96" s="22">
        <f t="shared" si="1"/>
        <v>0</v>
      </c>
    </row>
    <row r="97" spans="1:21" ht="47.25">
      <c r="A97" s="498"/>
      <c r="B97" s="498"/>
      <c r="C97" s="498"/>
      <c r="D97" s="43">
        <v>90</v>
      </c>
      <c r="E97" s="43" t="s">
        <v>150</v>
      </c>
      <c r="F97" s="355">
        <f>TVM!X97</f>
        <v>0</v>
      </c>
      <c r="G97" s="355">
        <f>KLM!X97</f>
        <v>0</v>
      </c>
      <c r="H97" s="355">
        <f>PTA!X97</f>
        <v>0</v>
      </c>
      <c r="I97" s="355">
        <f>ALP!X97</f>
        <v>0</v>
      </c>
      <c r="J97" s="355">
        <f>KTM!X97</f>
        <v>0</v>
      </c>
      <c r="K97" s="355">
        <f>IDK!X97</f>
        <v>0</v>
      </c>
      <c r="L97" s="355">
        <f>EKM!X97</f>
        <v>3.25</v>
      </c>
      <c r="M97" s="355">
        <f>TSR!X97</f>
        <v>0</v>
      </c>
      <c r="N97" s="355">
        <f>PLKD!X97</f>
        <v>0</v>
      </c>
      <c r="O97" s="355">
        <f>MLPM!X97</f>
        <v>0</v>
      </c>
      <c r="P97" s="355">
        <f>KKD!X97</f>
        <v>0</v>
      </c>
      <c r="Q97" s="355">
        <f>WYND!X97</f>
        <v>0</v>
      </c>
      <c r="R97" s="355">
        <f>KNR!X97</f>
        <v>0</v>
      </c>
      <c r="S97" s="355">
        <f>KSRGD!X97</f>
        <v>0</v>
      </c>
      <c r="T97" s="355">
        <f>SHS!X97</f>
        <v>0</v>
      </c>
      <c r="U97" s="22">
        <f t="shared" si="1"/>
        <v>3.25</v>
      </c>
    </row>
    <row r="98" spans="1:21" ht="31.5">
      <c r="A98" s="498"/>
      <c r="B98" s="498"/>
      <c r="C98" s="498"/>
      <c r="D98" s="43">
        <v>91</v>
      </c>
      <c r="E98" s="43" t="s">
        <v>151</v>
      </c>
      <c r="F98" s="355">
        <f>TVM!X98</f>
        <v>0</v>
      </c>
      <c r="G98" s="355">
        <f>KLM!X98</f>
        <v>0</v>
      </c>
      <c r="H98" s="355">
        <f>PTA!X98</f>
        <v>0</v>
      </c>
      <c r="I98" s="355">
        <f>ALP!X98</f>
        <v>0</v>
      </c>
      <c r="J98" s="355">
        <f>KTM!X98</f>
        <v>0</v>
      </c>
      <c r="K98" s="355">
        <f>IDK!X98</f>
        <v>0</v>
      </c>
      <c r="L98" s="355">
        <f>EKM!X98</f>
        <v>0</v>
      </c>
      <c r="M98" s="355">
        <f>TSR!X98</f>
        <v>0</v>
      </c>
      <c r="N98" s="355">
        <f>PLKD!X98</f>
        <v>0</v>
      </c>
      <c r="O98" s="355">
        <f>MLPM!X98</f>
        <v>0</v>
      </c>
      <c r="P98" s="355">
        <f>KKD!X98</f>
        <v>0</v>
      </c>
      <c r="Q98" s="355">
        <f>WYND!X98</f>
        <v>0</v>
      </c>
      <c r="R98" s="355">
        <f>KNR!X98</f>
        <v>0</v>
      </c>
      <c r="S98" s="355">
        <f>KSRGD!X98</f>
        <v>0</v>
      </c>
      <c r="T98" s="355">
        <f>SHS!X98</f>
        <v>0</v>
      </c>
      <c r="U98" s="22">
        <f t="shared" si="1"/>
        <v>0</v>
      </c>
    </row>
    <row r="99" spans="1:21" ht="63">
      <c r="A99" s="498"/>
      <c r="B99" s="498"/>
      <c r="C99" s="498"/>
      <c r="D99" s="43">
        <v>92</v>
      </c>
      <c r="E99" s="43" t="s">
        <v>152</v>
      </c>
      <c r="F99" s="355">
        <f>TVM!X99</f>
        <v>2</v>
      </c>
      <c r="G99" s="355">
        <f>KLM!X99</f>
        <v>0</v>
      </c>
      <c r="H99" s="355">
        <f>PTA!X99</f>
        <v>0</v>
      </c>
      <c r="I99" s="355">
        <f>ALP!X99</f>
        <v>2</v>
      </c>
      <c r="J99" s="355">
        <f>KTM!X99</f>
        <v>2</v>
      </c>
      <c r="K99" s="355">
        <f>IDK!X99</f>
        <v>0</v>
      </c>
      <c r="L99" s="355">
        <f>EKM!X99</f>
        <v>16</v>
      </c>
      <c r="M99" s="355">
        <f>TSR!X99</f>
        <v>1</v>
      </c>
      <c r="N99" s="355">
        <f>PLKD!X99</f>
        <v>0.5</v>
      </c>
      <c r="O99" s="355">
        <f>MLPM!X99</f>
        <v>0</v>
      </c>
      <c r="P99" s="355">
        <f>KKD!X99</f>
        <v>2.2000000000000002</v>
      </c>
      <c r="Q99" s="355">
        <f>WYND!X99</f>
        <v>1</v>
      </c>
      <c r="R99" s="355">
        <f>KNR!X99</f>
        <v>0</v>
      </c>
      <c r="S99" s="355">
        <f>KSRGD!X99</f>
        <v>0</v>
      </c>
      <c r="T99" s="355">
        <f>SHS!X99</f>
        <v>0</v>
      </c>
      <c r="U99" s="22">
        <f t="shared" si="1"/>
        <v>26.7</v>
      </c>
    </row>
    <row r="100" spans="1:21" ht="31.5">
      <c r="A100" s="498"/>
      <c r="B100" s="498"/>
      <c r="C100" s="498"/>
      <c r="D100" s="43">
        <v>93</v>
      </c>
      <c r="E100" s="43" t="s">
        <v>153</v>
      </c>
      <c r="F100" s="355">
        <f>TVM!X100</f>
        <v>7.5</v>
      </c>
      <c r="G100" s="355">
        <f>KLM!X100</f>
        <v>7.1</v>
      </c>
      <c r="H100" s="355">
        <f>PTA!X100</f>
        <v>4.5</v>
      </c>
      <c r="I100" s="355">
        <f>ALP!X100</f>
        <v>6.1</v>
      </c>
      <c r="J100" s="355">
        <f>KTM!X100</f>
        <v>6</v>
      </c>
      <c r="K100" s="355">
        <f>IDK!X100</f>
        <v>4.5999999999999996</v>
      </c>
      <c r="L100" s="355">
        <f>EKM!X100</f>
        <v>8.75</v>
      </c>
      <c r="M100" s="355">
        <f>TSR!X100</f>
        <v>6.1</v>
      </c>
      <c r="N100" s="355">
        <f>PLKD!X100</f>
        <v>6.1</v>
      </c>
      <c r="O100" s="355">
        <f>MLPM!X100</f>
        <v>8.75</v>
      </c>
      <c r="P100" s="355">
        <f>KKD!X100</f>
        <v>7</v>
      </c>
      <c r="Q100" s="355">
        <f>WYND!X100</f>
        <v>4.5</v>
      </c>
      <c r="R100" s="355">
        <f>KNR!X100</f>
        <v>6.1</v>
      </c>
      <c r="S100" s="355">
        <f>KSRGD!X100</f>
        <v>4.4000000000000004</v>
      </c>
      <c r="T100" s="355">
        <f>SHS!X100</f>
        <v>20</v>
      </c>
      <c r="U100" s="22">
        <f t="shared" si="1"/>
        <v>107.5</v>
      </c>
    </row>
    <row r="101" spans="1:21" ht="31.5">
      <c r="A101" s="498"/>
      <c r="B101" s="498"/>
      <c r="C101" s="498"/>
      <c r="D101" s="43">
        <v>94</v>
      </c>
      <c r="E101" s="43" t="s">
        <v>154</v>
      </c>
      <c r="F101" s="355">
        <f>TVM!X101</f>
        <v>7.5</v>
      </c>
      <c r="G101" s="355">
        <f>KLM!X101</f>
        <v>7.1</v>
      </c>
      <c r="H101" s="355">
        <f>PTA!X101</f>
        <v>4.5</v>
      </c>
      <c r="I101" s="355">
        <f>ALP!X101</f>
        <v>6.1</v>
      </c>
      <c r="J101" s="355">
        <f>KTM!X101</f>
        <v>6</v>
      </c>
      <c r="K101" s="355">
        <f>IDK!X101</f>
        <v>4.5999999999999996</v>
      </c>
      <c r="L101" s="355">
        <f>EKM!X101</f>
        <v>8.75</v>
      </c>
      <c r="M101" s="355">
        <f>TSR!X101</f>
        <v>6.1</v>
      </c>
      <c r="N101" s="355">
        <f>PLKD!X101</f>
        <v>6.1</v>
      </c>
      <c r="O101" s="355">
        <f>MLPM!X101</f>
        <v>8.75</v>
      </c>
      <c r="P101" s="355">
        <f>KKD!X101</f>
        <v>7</v>
      </c>
      <c r="Q101" s="355">
        <f>WYND!X101</f>
        <v>4.5</v>
      </c>
      <c r="R101" s="355">
        <f>KNR!X101</f>
        <v>6.1</v>
      </c>
      <c r="S101" s="355">
        <f>KSRGD!X101</f>
        <v>4.4000000000000004</v>
      </c>
      <c r="T101" s="355">
        <f>SHS!X101</f>
        <v>35</v>
      </c>
      <c r="U101" s="22">
        <f t="shared" si="1"/>
        <v>122.5</v>
      </c>
    </row>
    <row r="102" spans="1:21" ht="63">
      <c r="A102" s="498"/>
      <c r="B102" s="498"/>
      <c r="C102" s="498"/>
      <c r="D102" s="43">
        <v>95</v>
      </c>
      <c r="E102" s="43" t="s">
        <v>155</v>
      </c>
      <c r="F102" s="355">
        <f>TVM!X102</f>
        <v>0</v>
      </c>
      <c r="G102" s="355">
        <f>KLM!X102</f>
        <v>0</v>
      </c>
      <c r="H102" s="355">
        <f>PTA!X102</f>
        <v>0</v>
      </c>
      <c r="I102" s="355">
        <f>ALP!X102</f>
        <v>0</v>
      </c>
      <c r="J102" s="355">
        <f>KTM!X102</f>
        <v>0</v>
      </c>
      <c r="K102" s="355">
        <f>IDK!X102</f>
        <v>0</v>
      </c>
      <c r="L102" s="355">
        <f>EKM!X102</f>
        <v>0</v>
      </c>
      <c r="M102" s="355">
        <f>TSR!X102</f>
        <v>0</v>
      </c>
      <c r="N102" s="355">
        <f>PLKD!X102</f>
        <v>0</v>
      </c>
      <c r="O102" s="355">
        <f>MLPM!X102</f>
        <v>0</v>
      </c>
      <c r="P102" s="355">
        <f>KKD!X102</f>
        <v>0</v>
      </c>
      <c r="Q102" s="355">
        <f>WYND!X102</f>
        <v>0</v>
      </c>
      <c r="R102" s="355">
        <f>KNR!X102</f>
        <v>0</v>
      </c>
      <c r="S102" s="355">
        <f>KSRGD!X102</f>
        <v>0</v>
      </c>
      <c r="T102" s="355">
        <f>SHS!X102</f>
        <v>1097</v>
      </c>
      <c r="U102" s="22">
        <f t="shared" si="1"/>
        <v>1097</v>
      </c>
    </row>
    <row r="103" spans="1:21" ht="31.5">
      <c r="A103" s="498"/>
      <c r="B103" s="496"/>
      <c r="C103" s="496"/>
      <c r="D103" s="43">
        <v>96</v>
      </c>
      <c r="E103" s="43" t="s">
        <v>156</v>
      </c>
      <c r="F103" s="355">
        <f>TVM!X103</f>
        <v>1</v>
      </c>
      <c r="G103" s="355">
        <f>KLM!X103</f>
        <v>1</v>
      </c>
      <c r="H103" s="355">
        <f>PTA!X103</f>
        <v>1</v>
      </c>
      <c r="I103" s="355">
        <f>ALP!X103</f>
        <v>1</v>
      </c>
      <c r="J103" s="355">
        <f>KTM!X103</f>
        <v>1</v>
      </c>
      <c r="K103" s="355">
        <f>IDK!X103</f>
        <v>1</v>
      </c>
      <c r="L103" s="355">
        <f>EKM!X103</f>
        <v>1</v>
      </c>
      <c r="M103" s="355">
        <f>TSR!X103</f>
        <v>1</v>
      </c>
      <c r="N103" s="355">
        <f>PLKD!X103</f>
        <v>1</v>
      </c>
      <c r="O103" s="355">
        <f>MLPM!X103</f>
        <v>2</v>
      </c>
      <c r="P103" s="355">
        <f>KKD!X103</f>
        <v>1</v>
      </c>
      <c r="Q103" s="355">
        <f>WYND!X103</f>
        <v>1</v>
      </c>
      <c r="R103" s="355">
        <f>KNR!X103</f>
        <v>1</v>
      </c>
      <c r="S103" s="355">
        <f>KSRGD!X103</f>
        <v>1</v>
      </c>
      <c r="T103" s="355">
        <f>SHS!X103</f>
        <v>0</v>
      </c>
      <c r="U103" s="22">
        <f t="shared" si="1"/>
        <v>15</v>
      </c>
    </row>
    <row r="104" spans="1:21" ht="47.25">
      <c r="A104" s="498"/>
      <c r="B104" s="497" t="s">
        <v>158</v>
      </c>
      <c r="C104" s="497" t="s">
        <v>159</v>
      </c>
      <c r="D104" s="43">
        <v>97</v>
      </c>
      <c r="E104" s="43" t="s">
        <v>160</v>
      </c>
      <c r="F104" s="355">
        <f>TVM!X104</f>
        <v>11.6</v>
      </c>
      <c r="G104" s="355">
        <f>KLM!X104</f>
        <v>11</v>
      </c>
      <c r="H104" s="355">
        <f>PTA!X104</f>
        <v>10.6</v>
      </c>
      <c r="I104" s="355">
        <f>ALP!X104</f>
        <v>10</v>
      </c>
      <c r="J104" s="355">
        <f>KTM!X104</f>
        <v>10.6</v>
      </c>
      <c r="K104" s="355">
        <f>IDK!X104</f>
        <v>11</v>
      </c>
      <c r="L104" s="355">
        <f>EKM!X104</f>
        <v>11.6</v>
      </c>
      <c r="M104" s="355">
        <f>TSR!X104</f>
        <v>11.6</v>
      </c>
      <c r="N104" s="355">
        <f>PLKD!X104</f>
        <v>10</v>
      </c>
      <c r="O104" s="355">
        <f>MLPM!X104</f>
        <v>12.2</v>
      </c>
      <c r="P104" s="355">
        <f>KKD!X104</f>
        <v>11.6</v>
      </c>
      <c r="Q104" s="355">
        <f>WYND!X104</f>
        <v>11</v>
      </c>
      <c r="R104" s="355">
        <f>KNR!X104</f>
        <v>11</v>
      </c>
      <c r="S104" s="355">
        <f>KSRGD!X104</f>
        <v>11</v>
      </c>
      <c r="T104" s="355">
        <f>SHS!X104</f>
        <v>0</v>
      </c>
      <c r="U104" s="22">
        <f t="shared" si="1"/>
        <v>154.80000000000001</v>
      </c>
    </row>
    <row r="105" spans="1:21" ht="47.25">
      <c r="A105" s="498"/>
      <c r="B105" s="496"/>
      <c r="C105" s="496"/>
      <c r="D105" s="43">
        <v>98</v>
      </c>
      <c r="E105" s="43" t="s">
        <v>44</v>
      </c>
      <c r="F105" s="355">
        <f>TVM!X105</f>
        <v>0.36</v>
      </c>
      <c r="G105" s="355">
        <f>KLM!X105</f>
        <v>0.36</v>
      </c>
      <c r="H105" s="355">
        <f>PTA!X105</f>
        <v>0.36</v>
      </c>
      <c r="I105" s="355">
        <f>ALP!X105</f>
        <v>0.36</v>
      </c>
      <c r="J105" s="355">
        <f>KTM!X105</f>
        <v>0.36</v>
      </c>
      <c r="K105" s="355">
        <f>IDK!X105</f>
        <v>0.36</v>
      </c>
      <c r="L105" s="355">
        <f>EKM!X105</f>
        <v>0.36</v>
      </c>
      <c r="M105" s="355">
        <f>TSR!X105</f>
        <v>0.36</v>
      </c>
      <c r="N105" s="355">
        <f>PLKD!X105</f>
        <v>0.36</v>
      </c>
      <c r="O105" s="355">
        <f>MLPM!X105</f>
        <v>0.36</v>
      </c>
      <c r="P105" s="355">
        <f>KKD!X105</f>
        <v>0.36</v>
      </c>
      <c r="Q105" s="355">
        <f>WYND!X105</f>
        <v>0.36</v>
      </c>
      <c r="R105" s="355">
        <f>KNR!X105</f>
        <v>0.36</v>
      </c>
      <c r="S105" s="355">
        <f>KSRGD!X105</f>
        <v>0.36</v>
      </c>
      <c r="T105" s="355">
        <f>SHS!X105</f>
        <v>88.72</v>
      </c>
      <c r="U105" s="22">
        <f t="shared" si="1"/>
        <v>93.76</v>
      </c>
    </row>
    <row r="106" spans="1:21">
      <c r="A106" s="498"/>
      <c r="B106" s="497" t="s">
        <v>161</v>
      </c>
      <c r="C106" s="497" t="s">
        <v>162</v>
      </c>
      <c r="D106" s="43">
        <v>99</v>
      </c>
      <c r="E106" s="43" t="s">
        <v>163</v>
      </c>
      <c r="F106" s="355">
        <f>TVM!X106</f>
        <v>0</v>
      </c>
      <c r="G106" s="355">
        <f>KLM!X106</f>
        <v>0</v>
      </c>
      <c r="H106" s="355">
        <f>PTA!X106</f>
        <v>0</v>
      </c>
      <c r="I106" s="355">
        <f>ALP!X106</f>
        <v>0</v>
      </c>
      <c r="J106" s="355">
        <f>KTM!X106</f>
        <v>0</v>
      </c>
      <c r="K106" s="355">
        <f>IDK!X106</f>
        <v>0</v>
      </c>
      <c r="L106" s="355">
        <f>EKM!X106</f>
        <v>0</v>
      </c>
      <c r="M106" s="355">
        <f>TSR!X106</f>
        <v>0</v>
      </c>
      <c r="N106" s="355">
        <f>PLKD!X106</f>
        <v>0</v>
      </c>
      <c r="O106" s="355">
        <f>MLPM!X106</f>
        <v>0</v>
      </c>
      <c r="P106" s="355">
        <f>KKD!X106</f>
        <v>0</v>
      </c>
      <c r="Q106" s="355">
        <f>WYND!X106</f>
        <v>0</v>
      </c>
      <c r="R106" s="355">
        <f>KNR!X106</f>
        <v>0</v>
      </c>
      <c r="S106" s="355">
        <f>KSRGD!X106</f>
        <v>0</v>
      </c>
      <c r="T106" s="355">
        <f>SHS!X106</f>
        <v>180</v>
      </c>
      <c r="U106" s="22">
        <f t="shared" si="1"/>
        <v>180</v>
      </c>
    </row>
    <row r="107" spans="1:21" ht="31.5">
      <c r="A107" s="498"/>
      <c r="B107" s="498"/>
      <c r="C107" s="498"/>
      <c r="D107" s="43">
        <v>100</v>
      </c>
      <c r="E107" s="43" t="s">
        <v>165</v>
      </c>
      <c r="F107" s="355">
        <f>TVM!X107</f>
        <v>0</v>
      </c>
      <c r="G107" s="355">
        <f>KLM!X107</f>
        <v>0</v>
      </c>
      <c r="H107" s="355">
        <f>PTA!X107</f>
        <v>0</v>
      </c>
      <c r="I107" s="355">
        <f>ALP!X107</f>
        <v>0</v>
      </c>
      <c r="J107" s="355">
        <f>KTM!X107</f>
        <v>0</v>
      </c>
      <c r="K107" s="355">
        <f>IDK!X107</f>
        <v>0</v>
      </c>
      <c r="L107" s="355">
        <f>EKM!X107</f>
        <v>0</v>
      </c>
      <c r="M107" s="355">
        <f>TSR!X107</f>
        <v>0</v>
      </c>
      <c r="N107" s="355">
        <f>PLKD!X107</f>
        <v>0</v>
      </c>
      <c r="O107" s="355">
        <f>MLPM!X107</f>
        <v>0</v>
      </c>
      <c r="P107" s="355">
        <f>KKD!X107</f>
        <v>0</v>
      </c>
      <c r="Q107" s="355">
        <f>WYND!X107</f>
        <v>0</v>
      </c>
      <c r="R107" s="355">
        <f>KNR!X107</f>
        <v>0</v>
      </c>
      <c r="S107" s="355">
        <f>KSRGD!X107</f>
        <v>0</v>
      </c>
      <c r="T107" s="355">
        <f>SHS!X107</f>
        <v>0</v>
      </c>
      <c r="U107" s="22">
        <f t="shared" si="1"/>
        <v>0</v>
      </c>
    </row>
    <row r="108" spans="1:21" ht="31.5">
      <c r="A108" s="498"/>
      <c r="B108" s="498"/>
      <c r="C108" s="498"/>
      <c r="D108" s="43">
        <v>101</v>
      </c>
      <c r="E108" s="43" t="s">
        <v>166</v>
      </c>
      <c r="F108" s="355">
        <f>TVM!X108</f>
        <v>0</v>
      </c>
      <c r="G108" s="355">
        <f>KLM!X108</f>
        <v>0</v>
      </c>
      <c r="H108" s="355">
        <f>PTA!X108</f>
        <v>0</v>
      </c>
      <c r="I108" s="355">
        <f>ALP!X108</f>
        <v>0</v>
      </c>
      <c r="J108" s="355">
        <f>KTM!X108</f>
        <v>0</v>
      </c>
      <c r="K108" s="355">
        <f>IDK!X108</f>
        <v>0</v>
      </c>
      <c r="L108" s="355">
        <f>EKM!X108</f>
        <v>0</v>
      </c>
      <c r="M108" s="355">
        <f>TSR!X108</f>
        <v>0</v>
      </c>
      <c r="N108" s="355">
        <f>PLKD!X108</f>
        <v>0</v>
      </c>
      <c r="O108" s="355">
        <f>MLPM!X108</f>
        <v>0</v>
      </c>
      <c r="P108" s="355">
        <f>KKD!X108</f>
        <v>0</v>
      </c>
      <c r="Q108" s="355">
        <f>WYND!X108</f>
        <v>0</v>
      </c>
      <c r="R108" s="355">
        <f>KNR!X108</f>
        <v>0</v>
      </c>
      <c r="S108" s="355">
        <f>KSRGD!X108</f>
        <v>0</v>
      </c>
      <c r="T108" s="355">
        <f>SHS!X108</f>
        <v>0</v>
      </c>
      <c r="U108" s="22">
        <f t="shared" si="1"/>
        <v>0</v>
      </c>
    </row>
    <row r="109" spans="1:21" ht="31.5">
      <c r="A109" s="498"/>
      <c r="B109" s="498"/>
      <c r="C109" s="498"/>
      <c r="D109" s="43">
        <v>102</v>
      </c>
      <c r="E109" s="43" t="s">
        <v>167</v>
      </c>
      <c r="F109" s="355">
        <f>TVM!X109</f>
        <v>2.8</v>
      </c>
      <c r="G109" s="355">
        <f>KLM!X109</f>
        <v>2.1</v>
      </c>
      <c r="H109" s="355">
        <f>PTA!X109</f>
        <v>2.15</v>
      </c>
      <c r="I109" s="355">
        <f>ALP!X109</f>
        <v>2.0499999999999998</v>
      </c>
      <c r="J109" s="355">
        <f>KTM!X109</f>
        <v>6.25</v>
      </c>
      <c r="K109" s="355">
        <f>IDK!X109</f>
        <v>1.3</v>
      </c>
      <c r="L109" s="355">
        <f>EKM!X109</f>
        <v>6.6</v>
      </c>
      <c r="M109" s="355">
        <f>TSR!X109</f>
        <v>4.3499999999999996</v>
      </c>
      <c r="N109" s="355">
        <f>PLKD!X109</f>
        <v>1.6</v>
      </c>
      <c r="O109" s="355">
        <f>MLPM!X109</f>
        <v>0.55000000000000004</v>
      </c>
      <c r="P109" s="355">
        <f>KKD!X109</f>
        <v>1.1000000000000001</v>
      </c>
      <c r="Q109" s="355">
        <f>WYND!X109</f>
        <v>1.4</v>
      </c>
      <c r="R109" s="355">
        <f>KNR!X109</f>
        <v>2.5</v>
      </c>
      <c r="S109" s="355">
        <f>KSRGD!X109</f>
        <v>1</v>
      </c>
      <c r="T109" s="355">
        <f>SHS!X109</f>
        <v>0</v>
      </c>
      <c r="U109" s="22">
        <f t="shared" si="1"/>
        <v>35.750000000000007</v>
      </c>
    </row>
    <row r="110" spans="1:21" ht="47.25">
      <c r="A110" s="498"/>
      <c r="B110" s="496"/>
      <c r="C110" s="496"/>
      <c r="D110" s="43">
        <v>103</v>
      </c>
      <c r="E110" s="43" t="s">
        <v>44</v>
      </c>
      <c r="F110" s="355">
        <f>TVM!X110</f>
        <v>0</v>
      </c>
      <c r="G110" s="355">
        <f>KLM!X110</f>
        <v>0</v>
      </c>
      <c r="H110" s="355">
        <f>PTA!X110</f>
        <v>0</v>
      </c>
      <c r="I110" s="355">
        <f>ALP!X110</f>
        <v>0</v>
      </c>
      <c r="J110" s="355">
        <f>KTM!X110</f>
        <v>0</v>
      </c>
      <c r="K110" s="355">
        <f>IDK!X110</f>
        <v>0</v>
      </c>
      <c r="L110" s="355">
        <f>EKM!X110</f>
        <v>0</v>
      </c>
      <c r="M110" s="355">
        <f>TSR!X110</f>
        <v>0</v>
      </c>
      <c r="N110" s="355">
        <f>PLKD!X110</f>
        <v>0</v>
      </c>
      <c r="O110" s="355">
        <f>MLPM!X110</f>
        <v>0</v>
      </c>
      <c r="P110" s="355">
        <f>KKD!X110</f>
        <v>0</v>
      </c>
      <c r="Q110" s="355">
        <f>WYND!X110</f>
        <v>0</v>
      </c>
      <c r="R110" s="355">
        <f>KNR!X110</f>
        <v>0</v>
      </c>
      <c r="S110" s="355">
        <f>KSRGD!X110</f>
        <v>0</v>
      </c>
      <c r="T110" s="355">
        <f>SHS!X110</f>
        <v>0</v>
      </c>
      <c r="U110" s="22">
        <f t="shared" si="1"/>
        <v>0</v>
      </c>
    </row>
    <row r="111" spans="1:21" ht="31.5">
      <c r="A111" s="498"/>
      <c r="B111" s="497" t="s">
        <v>168</v>
      </c>
      <c r="C111" s="497" t="s">
        <v>169</v>
      </c>
      <c r="D111" s="43">
        <v>104</v>
      </c>
      <c r="E111" s="43" t="s">
        <v>170</v>
      </c>
      <c r="F111" s="355">
        <f>TVM!X111</f>
        <v>0</v>
      </c>
      <c r="G111" s="355">
        <f>KLM!X111</f>
        <v>0</v>
      </c>
      <c r="H111" s="355">
        <f>PTA!X111</f>
        <v>0</v>
      </c>
      <c r="I111" s="355">
        <f>ALP!X111</f>
        <v>0</v>
      </c>
      <c r="J111" s="355">
        <f>KTM!X111</f>
        <v>0</v>
      </c>
      <c r="K111" s="355">
        <f>IDK!X111</f>
        <v>0</v>
      </c>
      <c r="L111" s="355">
        <f>EKM!X111</f>
        <v>0</v>
      </c>
      <c r="M111" s="355">
        <f>TSR!X111</f>
        <v>0</v>
      </c>
      <c r="N111" s="355">
        <f>PLKD!X111</f>
        <v>0</v>
      </c>
      <c r="O111" s="355">
        <f>MLPM!X111</f>
        <v>0</v>
      </c>
      <c r="P111" s="355">
        <f>KKD!X111</f>
        <v>0</v>
      </c>
      <c r="Q111" s="355">
        <f>WYND!X111</f>
        <v>0</v>
      </c>
      <c r="R111" s="355">
        <f>KNR!X111</f>
        <v>0</v>
      </c>
      <c r="S111" s="355">
        <f>KSRGD!X111</f>
        <v>0</v>
      </c>
      <c r="T111" s="355">
        <f>SHS!X111</f>
        <v>0</v>
      </c>
      <c r="U111" s="22">
        <f t="shared" si="1"/>
        <v>0</v>
      </c>
    </row>
    <row r="112" spans="1:21" ht="31.5">
      <c r="A112" s="498"/>
      <c r="B112" s="498"/>
      <c r="C112" s="498"/>
      <c r="D112" s="43">
        <v>105</v>
      </c>
      <c r="E112" s="43" t="s">
        <v>171</v>
      </c>
      <c r="F112" s="355">
        <f>TVM!X112</f>
        <v>2</v>
      </c>
      <c r="G112" s="355">
        <f>KLM!X112</f>
        <v>2</v>
      </c>
      <c r="H112" s="355">
        <f>PTA!X112</f>
        <v>2</v>
      </c>
      <c r="I112" s="355">
        <f>ALP!X112</f>
        <v>2</v>
      </c>
      <c r="J112" s="355">
        <f>KTM!X112</f>
        <v>2</v>
      </c>
      <c r="K112" s="355">
        <f>IDK!X112</f>
        <v>2</v>
      </c>
      <c r="L112" s="355">
        <f>EKM!X112</f>
        <v>2</v>
      </c>
      <c r="M112" s="355">
        <f>TSR!X112</f>
        <v>2</v>
      </c>
      <c r="N112" s="355">
        <f>PLKD!X112</f>
        <v>2</v>
      </c>
      <c r="O112" s="355">
        <f>MLPM!X112</f>
        <v>2</v>
      </c>
      <c r="P112" s="355">
        <f>KKD!X112</f>
        <v>2</v>
      </c>
      <c r="Q112" s="355">
        <f>WYND!X112</f>
        <v>2</v>
      </c>
      <c r="R112" s="355">
        <f>KNR!X112</f>
        <v>2</v>
      </c>
      <c r="S112" s="355">
        <f>KSRGD!X112</f>
        <v>2</v>
      </c>
      <c r="T112" s="355">
        <f>SHS!X112</f>
        <v>0</v>
      </c>
      <c r="U112" s="22">
        <f t="shared" si="1"/>
        <v>28</v>
      </c>
    </row>
    <row r="113" spans="1:21">
      <c r="A113" s="498"/>
      <c r="B113" s="496"/>
      <c r="C113" s="496"/>
      <c r="D113" s="43">
        <v>106</v>
      </c>
      <c r="E113" s="43" t="s">
        <v>172</v>
      </c>
      <c r="F113" s="355">
        <f>TVM!X113</f>
        <v>0</v>
      </c>
      <c r="G113" s="355">
        <f>KLM!X113</f>
        <v>0</v>
      </c>
      <c r="H113" s="355">
        <f>PTA!X113</f>
        <v>0</v>
      </c>
      <c r="I113" s="355">
        <f>ALP!X113</f>
        <v>0</v>
      </c>
      <c r="J113" s="355">
        <f>KTM!X113</f>
        <v>0</v>
      </c>
      <c r="K113" s="355">
        <f>IDK!X113</f>
        <v>0</v>
      </c>
      <c r="L113" s="355">
        <f>EKM!X113</f>
        <v>0</v>
      </c>
      <c r="M113" s="355">
        <f>TSR!X113</f>
        <v>0</v>
      </c>
      <c r="N113" s="355">
        <f>PLKD!X113</f>
        <v>0</v>
      </c>
      <c r="O113" s="355">
        <f>MLPM!X113</f>
        <v>0</v>
      </c>
      <c r="P113" s="355">
        <f>KKD!X113</f>
        <v>0</v>
      </c>
      <c r="Q113" s="355">
        <f>WYND!X113</f>
        <v>0</v>
      </c>
      <c r="R113" s="355">
        <f>KNR!X113</f>
        <v>0</v>
      </c>
      <c r="S113" s="355">
        <f>KSRGD!X113</f>
        <v>0</v>
      </c>
      <c r="T113" s="355">
        <f>SHS!X113</f>
        <v>50.4</v>
      </c>
      <c r="U113" s="22">
        <f t="shared" si="1"/>
        <v>50.4</v>
      </c>
    </row>
    <row r="114" spans="1:21">
      <c r="A114" s="498"/>
      <c r="B114" s="497" t="s">
        <v>173</v>
      </c>
      <c r="C114" s="497" t="s">
        <v>174</v>
      </c>
      <c r="D114" s="43">
        <v>107</v>
      </c>
      <c r="E114" s="43" t="s">
        <v>175</v>
      </c>
      <c r="F114" s="355">
        <f>TVM!X114</f>
        <v>0</v>
      </c>
      <c r="G114" s="355">
        <f>KLM!X114</f>
        <v>0</v>
      </c>
      <c r="H114" s="355">
        <f>PTA!X114</f>
        <v>0</v>
      </c>
      <c r="I114" s="355">
        <f>ALP!X114</f>
        <v>0</v>
      </c>
      <c r="J114" s="355">
        <f>KTM!X114</f>
        <v>0</v>
      </c>
      <c r="K114" s="355">
        <f>IDK!X114</f>
        <v>0</v>
      </c>
      <c r="L114" s="355">
        <f>EKM!X114</f>
        <v>0</v>
      </c>
      <c r="M114" s="355">
        <f>TSR!X114</f>
        <v>0</v>
      </c>
      <c r="N114" s="355">
        <f>PLKD!X114</f>
        <v>0</v>
      </c>
      <c r="O114" s="355">
        <f>MLPM!X114</f>
        <v>0</v>
      </c>
      <c r="P114" s="355">
        <f>KKD!X114</f>
        <v>0</v>
      </c>
      <c r="Q114" s="355">
        <f>WYND!X114</f>
        <v>0</v>
      </c>
      <c r="R114" s="355">
        <f>KNR!X114</f>
        <v>0</v>
      </c>
      <c r="S114" s="355">
        <f>KSRGD!X114</f>
        <v>0</v>
      </c>
      <c r="T114" s="355">
        <f>SHS!X114</f>
        <v>1242.3800000000001</v>
      </c>
      <c r="U114" s="22">
        <f t="shared" si="1"/>
        <v>1242.3800000000001</v>
      </c>
    </row>
    <row r="115" spans="1:21" ht="31.5">
      <c r="A115" s="498"/>
      <c r="B115" s="498"/>
      <c r="C115" s="498"/>
      <c r="D115" s="43">
        <v>108</v>
      </c>
      <c r="E115" s="43" t="s">
        <v>176</v>
      </c>
      <c r="F115" s="355">
        <f>TVM!X115</f>
        <v>0</v>
      </c>
      <c r="G115" s="355">
        <f>KLM!X115</f>
        <v>0</v>
      </c>
      <c r="H115" s="355">
        <f>PTA!X115</f>
        <v>0</v>
      </c>
      <c r="I115" s="355">
        <f>ALP!X115</f>
        <v>0</v>
      </c>
      <c r="J115" s="355">
        <f>KTM!X115</f>
        <v>0</v>
      </c>
      <c r="K115" s="355">
        <f>IDK!X115</f>
        <v>0</v>
      </c>
      <c r="L115" s="355">
        <f>EKM!X115</f>
        <v>0</v>
      </c>
      <c r="M115" s="355">
        <f>TSR!X115</f>
        <v>0</v>
      </c>
      <c r="N115" s="355">
        <f>PLKD!X115</f>
        <v>0</v>
      </c>
      <c r="O115" s="355">
        <f>MLPM!X115</f>
        <v>0</v>
      </c>
      <c r="P115" s="355">
        <f>KKD!X115</f>
        <v>0</v>
      </c>
      <c r="Q115" s="355">
        <f>WYND!X115</f>
        <v>0</v>
      </c>
      <c r="R115" s="355">
        <f>KNR!X115</f>
        <v>0</v>
      </c>
      <c r="S115" s="355">
        <f>KSRGD!X115</f>
        <v>0</v>
      </c>
      <c r="T115" s="355">
        <f>SHS!X115</f>
        <v>880</v>
      </c>
      <c r="U115" s="22">
        <f t="shared" si="1"/>
        <v>880</v>
      </c>
    </row>
    <row r="116" spans="1:21" ht="47.25">
      <c r="A116" s="498"/>
      <c r="B116" s="498"/>
      <c r="C116" s="498"/>
      <c r="D116" s="43">
        <v>109</v>
      </c>
      <c r="E116" s="43" t="s">
        <v>177</v>
      </c>
      <c r="F116" s="355">
        <f>TVM!X116</f>
        <v>1</v>
      </c>
      <c r="G116" s="355">
        <f>KLM!X116</f>
        <v>1</v>
      </c>
      <c r="H116" s="355">
        <f>PTA!X116</f>
        <v>1</v>
      </c>
      <c r="I116" s="355">
        <f>ALP!X116</f>
        <v>1</v>
      </c>
      <c r="J116" s="355">
        <f>KTM!X116</f>
        <v>1</v>
      </c>
      <c r="K116" s="355">
        <f>IDK!X116</f>
        <v>1</v>
      </c>
      <c r="L116" s="355">
        <f>EKM!X116</f>
        <v>1</v>
      </c>
      <c r="M116" s="355">
        <f>TSR!X116</f>
        <v>1</v>
      </c>
      <c r="N116" s="355">
        <f>PLKD!X116</f>
        <v>1</v>
      </c>
      <c r="O116" s="355">
        <f>MLPM!X116</f>
        <v>1</v>
      </c>
      <c r="P116" s="355">
        <f>KKD!X116</f>
        <v>1</v>
      </c>
      <c r="Q116" s="355">
        <f>WYND!X116</f>
        <v>1</v>
      </c>
      <c r="R116" s="355">
        <f>KNR!X116</f>
        <v>1</v>
      </c>
      <c r="S116" s="355">
        <f>KSRGD!X116</f>
        <v>1</v>
      </c>
      <c r="T116" s="355">
        <f>SHS!X116</f>
        <v>120</v>
      </c>
      <c r="U116" s="22">
        <f t="shared" si="1"/>
        <v>134</v>
      </c>
    </row>
    <row r="117" spans="1:21" ht="31.5">
      <c r="A117" s="498"/>
      <c r="B117" s="498"/>
      <c r="C117" s="498"/>
      <c r="D117" s="43">
        <v>110</v>
      </c>
      <c r="E117" s="43" t="s">
        <v>178</v>
      </c>
      <c r="F117" s="355">
        <f>TVM!X117</f>
        <v>0</v>
      </c>
      <c r="G117" s="355">
        <f>KLM!X117</f>
        <v>0</v>
      </c>
      <c r="H117" s="355">
        <f>PTA!X117</f>
        <v>0</v>
      </c>
      <c r="I117" s="355">
        <f>ALP!X117</f>
        <v>0</v>
      </c>
      <c r="J117" s="355">
        <f>KTM!X117</f>
        <v>0</v>
      </c>
      <c r="K117" s="355">
        <f>IDK!X117</f>
        <v>0</v>
      </c>
      <c r="L117" s="355">
        <f>EKM!X117</f>
        <v>0</v>
      </c>
      <c r="M117" s="355">
        <f>TSR!X117</f>
        <v>0</v>
      </c>
      <c r="N117" s="355">
        <f>PLKD!X117</f>
        <v>0</v>
      </c>
      <c r="O117" s="355">
        <f>MLPM!X117</f>
        <v>0</v>
      </c>
      <c r="P117" s="355">
        <f>KKD!X117</f>
        <v>0</v>
      </c>
      <c r="Q117" s="355">
        <f>WYND!X117</f>
        <v>0</v>
      </c>
      <c r="R117" s="355">
        <f>KNR!X117</f>
        <v>0</v>
      </c>
      <c r="S117" s="355">
        <f>KSRGD!X117</f>
        <v>0</v>
      </c>
      <c r="T117" s="355">
        <f>SHS!X117</f>
        <v>1424.35</v>
      </c>
      <c r="U117" s="22">
        <f t="shared" si="1"/>
        <v>1424.35</v>
      </c>
    </row>
    <row r="118" spans="1:21" ht="47.25">
      <c r="A118" s="498"/>
      <c r="B118" s="496"/>
      <c r="C118" s="496"/>
      <c r="D118" s="43">
        <v>111</v>
      </c>
      <c r="E118" s="43" t="s">
        <v>44</v>
      </c>
      <c r="F118" s="355">
        <f>TVM!X118</f>
        <v>0</v>
      </c>
      <c r="G118" s="355">
        <f>KLM!X118</f>
        <v>0</v>
      </c>
      <c r="H118" s="355">
        <f>PTA!X118</f>
        <v>0</v>
      </c>
      <c r="I118" s="355">
        <f>ALP!X118</f>
        <v>0</v>
      </c>
      <c r="J118" s="355">
        <f>KTM!X118</f>
        <v>0</v>
      </c>
      <c r="K118" s="355">
        <f>IDK!X118</f>
        <v>0</v>
      </c>
      <c r="L118" s="355">
        <f>EKM!X118</f>
        <v>0</v>
      </c>
      <c r="M118" s="355">
        <f>TSR!X118</f>
        <v>0</v>
      </c>
      <c r="N118" s="355">
        <f>PLKD!X118</f>
        <v>0</v>
      </c>
      <c r="O118" s="355">
        <f>MLPM!X118</f>
        <v>0</v>
      </c>
      <c r="P118" s="355">
        <f>KKD!X118</f>
        <v>0</v>
      </c>
      <c r="Q118" s="355">
        <f>WYND!X118</f>
        <v>0</v>
      </c>
      <c r="R118" s="355">
        <f>KNR!X118</f>
        <v>0</v>
      </c>
      <c r="S118" s="355">
        <f>KSRGD!X118</f>
        <v>0</v>
      </c>
      <c r="T118" s="355">
        <f>SHS!X118</f>
        <v>20</v>
      </c>
      <c r="U118" s="22">
        <f t="shared" si="1"/>
        <v>20</v>
      </c>
    </row>
    <row r="119" spans="1:21" ht="31.5">
      <c r="A119" s="498"/>
      <c r="B119" s="497" t="s">
        <v>179</v>
      </c>
      <c r="C119" s="497" t="s">
        <v>180</v>
      </c>
      <c r="D119" s="43">
        <v>112</v>
      </c>
      <c r="E119" s="43" t="s">
        <v>181</v>
      </c>
      <c r="F119" s="355">
        <f>TVM!X119</f>
        <v>0</v>
      </c>
      <c r="G119" s="355">
        <f>KLM!X119</f>
        <v>0</v>
      </c>
      <c r="H119" s="355">
        <f>PTA!X119</f>
        <v>0</v>
      </c>
      <c r="I119" s="355">
        <f>ALP!X119</f>
        <v>0</v>
      </c>
      <c r="J119" s="355">
        <f>KTM!X119</f>
        <v>0</v>
      </c>
      <c r="K119" s="355">
        <f>IDK!X119</f>
        <v>0</v>
      </c>
      <c r="L119" s="355">
        <f>EKM!X119</f>
        <v>0</v>
      </c>
      <c r="M119" s="355">
        <f>TSR!X119</f>
        <v>0</v>
      </c>
      <c r="N119" s="355">
        <f>PLKD!X119</f>
        <v>0</v>
      </c>
      <c r="O119" s="355">
        <f>MLPM!X119</f>
        <v>0</v>
      </c>
      <c r="P119" s="355">
        <f>KKD!X119</f>
        <v>0</v>
      </c>
      <c r="Q119" s="355">
        <f>WYND!X119</f>
        <v>0</v>
      </c>
      <c r="R119" s="355">
        <f>KNR!X119</f>
        <v>0</v>
      </c>
      <c r="S119" s="355">
        <f>KSRGD!X119</f>
        <v>0</v>
      </c>
      <c r="T119" s="355">
        <f>SHS!X119</f>
        <v>113.8</v>
      </c>
      <c r="U119" s="22">
        <f t="shared" si="1"/>
        <v>113.8</v>
      </c>
    </row>
    <row r="120" spans="1:21" ht="31.5">
      <c r="A120" s="498"/>
      <c r="B120" s="496"/>
      <c r="C120" s="496"/>
      <c r="D120" s="43">
        <v>113</v>
      </c>
      <c r="E120" s="43" t="s">
        <v>182</v>
      </c>
      <c r="F120" s="355">
        <f>TVM!X120</f>
        <v>0</v>
      </c>
      <c r="G120" s="355">
        <f>KLM!X120</f>
        <v>0</v>
      </c>
      <c r="H120" s="355">
        <f>PTA!X120</f>
        <v>0</v>
      </c>
      <c r="I120" s="355">
        <f>ALP!X120</f>
        <v>0</v>
      </c>
      <c r="J120" s="355">
        <f>KTM!X120</f>
        <v>0</v>
      </c>
      <c r="K120" s="355">
        <f>IDK!X120</f>
        <v>0</v>
      </c>
      <c r="L120" s="355">
        <f>EKM!X120</f>
        <v>0</v>
      </c>
      <c r="M120" s="355">
        <f>TSR!X120</f>
        <v>0</v>
      </c>
      <c r="N120" s="355">
        <f>PLKD!X120</f>
        <v>0</v>
      </c>
      <c r="O120" s="355">
        <f>MLPM!X120</f>
        <v>0</v>
      </c>
      <c r="P120" s="355">
        <f>KKD!X120</f>
        <v>0</v>
      </c>
      <c r="Q120" s="355">
        <f>WYND!X120</f>
        <v>0</v>
      </c>
      <c r="R120" s="355">
        <f>KNR!X120</f>
        <v>0</v>
      </c>
      <c r="S120" s="355">
        <f>KSRGD!X120</f>
        <v>0</v>
      </c>
      <c r="T120" s="355">
        <f>SHS!X120</f>
        <v>0</v>
      </c>
      <c r="U120" s="22">
        <f t="shared" si="1"/>
        <v>0</v>
      </c>
    </row>
    <row r="121" spans="1:21" ht="173.25">
      <c r="A121" s="498"/>
      <c r="B121" s="43" t="s">
        <v>183</v>
      </c>
      <c r="C121" s="43" t="s">
        <v>184</v>
      </c>
      <c r="D121" s="43">
        <v>114</v>
      </c>
      <c r="E121" s="43" t="s">
        <v>185</v>
      </c>
      <c r="F121" s="355">
        <f>TVM!X121</f>
        <v>15.3</v>
      </c>
      <c r="G121" s="355">
        <f>KLM!X121</f>
        <v>11.4</v>
      </c>
      <c r="H121" s="355">
        <f>PTA!X121</f>
        <v>9.4</v>
      </c>
      <c r="I121" s="355">
        <f>ALP!X121</f>
        <v>15.1</v>
      </c>
      <c r="J121" s="355">
        <f>KTM!X121</f>
        <v>12.3</v>
      </c>
      <c r="K121" s="355">
        <f>IDK!X121</f>
        <v>8.9</v>
      </c>
      <c r="L121" s="355">
        <f>EKM!X121</f>
        <v>15.1</v>
      </c>
      <c r="M121" s="355">
        <f>TSR!X121</f>
        <v>14.6</v>
      </c>
      <c r="N121" s="355">
        <f>PLKD!X121</f>
        <v>13.7</v>
      </c>
      <c r="O121" s="355">
        <f>MLPM!X121</f>
        <v>18.2</v>
      </c>
      <c r="P121" s="355">
        <f>KKD!X121</f>
        <v>17.7</v>
      </c>
      <c r="Q121" s="355">
        <f>WYND!X121</f>
        <v>9.1999999999999993</v>
      </c>
      <c r="R121" s="355">
        <f>KNR!X121</f>
        <v>14.4</v>
      </c>
      <c r="S121" s="355">
        <f>KSRGD!X121</f>
        <v>9</v>
      </c>
      <c r="T121" s="355">
        <f>SHS!X121</f>
        <v>0</v>
      </c>
      <c r="U121" s="22">
        <f t="shared" si="1"/>
        <v>184.29999999999998</v>
      </c>
    </row>
    <row r="122" spans="1:21" ht="31.5">
      <c r="A122" s="498"/>
      <c r="B122" s="497" t="s">
        <v>186</v>
      </c>
      <c r="C122" s="497" t="s">
        <v>187</v>
      </c>
      <c r="D122" s="43">
        <v>115</v>
      </c>
      <c r="E122" s="43" t="s">
        <v>188</v>
      </c>
      <c r="F122" s="355">
        <f>TVM!X122</f>
        <v>1.5</v>
      </c>
      <c r="G122" s="355">
        <f>KLM!X122</f>
        <v>1.5</v>
      </c>
      <c r="H122" s="355">
        <f>PTA!X122</f>
        <v>1.5</v>
      </c>
      <c r="I122" s="355">
        <f>ALP!X122</f>
        <v>1.5</v>
      </c>
      <c r="J122" s="355">
        <f>KTM!X122</f>
        <v>1.5</v>
      </c>
      <c r="K122" s="355">
        <f>IDK!X122</f>
        <v>1.5</v>
      </c>
      <c r="L122" s="355">
        <f>EKM!X122</f>
        <v>1.5</v>
      </c>
      <c r="M122" s="355">
        <f>TSR!X122</f>
        <v>1.5</v>
      </c>
      <c r="N122" s="355">
        <f>PLKD!X122</f>
        <v>1.5</v>
      </c>
      <c r="O122" s="355">
        <f>MLPM!X122</f>
        <v>1.5</v>
      </c>
      <c r="P122" s="355">
        <f>KKD!X122</f>
        <v>1.5</v>
      </c>
      <c r="Q122" s="355">
        <f>WYND!X122</f>
        <v>1.5</v>
      </c>
      <c r="R122" s="355">
        <f>KNR!X122</f>
        <v>1.5</v>
      </c>
      <c r="S122" s="355">
        <f>KSRGD!X122</f>
        <v>1.5</v>
      </c>
      <c r="T122" s="355">
        <f>SHS!X122</f>
        <v>78.72</v>
      </c>
      <c r="U122" s="22">
        <f t="shared" si="1"/>
        <v>99.72</v>
      </c>
    </row>
    <row r="123" spans="1:21" ht="31.5">
      <c r="A123" s="498"/>
      <c r="B123" s="498"/>
      <c r="C123" s="498"/>
      <c r="D123" s="43">
        <v>116</v>
      </c>
      <c r="E123" s="43" t="s">
        <v>189</v>
      </c>
      <c r="F123" s="355">
        <f>TVM!X123</f>
        <v>5.7</v>
      </c>
      <c r="G123" s="355">
        <f>KLM!X123</f>
        <v>7.7</v>
      </c>
      <c r="H123" s="355">
        <f>PTA!X123</f>
        <v>3.85</v>
      </c>
      <c r="I123" s="355">
        <f>ALP!X123</f>
        <v>4.75</v>
      </c>
      <c r="J123" s="355">
        <f>KTM!X123</f>
        <v>3.85</v>
      </c>
      <c r="K123" s="355">
        <f>IDK!X123</f>
        <v>4.95</v>
      </c>
      <c r="L123" s="355">
        <f>EKM!X123</f>
        <v>10.25</v>
      </c>
      <c r="M123" s="355">
        <f>TSR!X123</f>
        <v>6.4</v>
      </c>
      <c r="N123" s="355">
        <f>PLKD!X123</f>
        <v>5.45</v>
      </c>
      <c r="O123" s="355">
        <f>MLPM!X123</f>
        <v>5.25</v>
      </c>
      <c r="P123" s="355">
        <f>KKD!X123</f>
        <v>5.7</v>
      </c>
      <c r="Q123" s="355">
        <f>WYND!X123</f>
        <v>3.4</v>
      </c>
      <c r="R123" s="355">
        <f>KNR!X123</f>
        <v>10.55</v>
      </c>
      <c r="S123" s="355">
        <f>KSRGD!X123</f>
        <v>4.2</v>
      </c>
      <c r="T123" s="355">
        <f>SHS!X123</f>
        <v>160.11000000000001</v>
      </c>
      <c r="U123" s="22">
        <f t="shared" si="1"/>
        <v>242.11</v>
      </c>
    </row>
    <row r="124" spans="1:21" ht="31.5">
      <c r="A124" s="498"/>
      <c r="B124" s="498"/>
      <c r="C124" s="498"/>
      <c r="D124" s="43">
        <v>117</v>
      </c>
      <c r="E124" s="43" t="s">
        <v>190</v>
      </c>
      <c r="F124" s="355">
        <f>TVM!X124</f>
        <v>0</v>
      </c>
      <c r="G124" s="355">
        <f>KLM!X124</f>
        <v>0</v>
      </c>
      <c r="H124" s="355">
        <f>PTA!X124</f>
        <v>0</v>
      </c>
      <c r="I124" s="355">
        <f>ALP!X124</f>
        <v>0</v>
      </c>
      <c r="J124" s="355">
        <f>KTM!X124</f>
        <v>0</v>
      </c>
      <c r="K124" s="355">
        <f>IDK!X124</f>
        <v>0</v>
      </c>
      <c r="L124" s="355">
        <f>EKM!X124</f>
        <v>0</v>
      </c>
      <c r="M124" s="355">
        <f>TSR!X124</f>
        <v>0</v>
      </c>
      <c r="N124" s="355">
        <f>PLKD!X124</f>
        <v>0</v>
      </c>
      <c r="O124" s="355">
        <f>MLPM!X124</f>
        <v>0</v>
      </c>
      <c r="P124" s="355">
        <f>KKD!X124</f>
        <v>0</v>
      </c>
      <c r="Q124" s="355">
        <f>WYND!X124</f>
        <v>0</v>
      </c>
      <c r="R124" s="355">
        <f>KNR!X124</f>
        <v>0</v>
      </c>
      <c r="S124" s="355">
        <f>KSRGD!X124</f>
        <v>0</v>
      </c>
      <c r="T124" s="355">
        <f>SHS!X124</f>
        <v>0</v>
      </c>
      <c r="U124" s="22">
        <f t="shared" si="1"/>
        <v>0</v>
      </c>
    </row>
    <row r="125" spans="1:21" ht="47.25">
      <c r="A125" s="498"/>
      <c r="B125" s="496"/>
      <c r="C125" s="496"/>
      <c r="D125" s="43">
        <v>118</v>
      </c>
      <c r="E125" s="43" t="s">
        <v>44</v>
      </c>
      <c r="F125" s="355">
        <f>TVM!X125</f>
        <v>0</v>
      </c>
      <c r="G125" s="355">
        <f>KLM!X125</f>
        <v>0</v>
      </c>
      <c r="H125" s="355">
        <f>PTA!X125</f>
        <v>0</v>
      </c>
      <c r="I125" s="355">
        <f>ALP!X125</f>
        <v>0</v>
      </c>
      <c r="J125" s="355">
        <f>KTM!X125</f>
        <v>0</v>
      </c>
      <c r="K125" s="355">
        <f>IDK!X125</f>
        <v>0</v>
      </c>
      <c r="L125" s="355">
        <f>EKM!X125</f>
        <v>0</v>
      </c>
      <c r="M125" s="355">
        <f>TSR!X125</f>
        <v>0</v>
      </c>
      <c r="N125" s="355">
        <f>PLKD!X125</f>
        <v>0</v>
      </c>
      <c r="O125" s="355">
        <f>MLPM!X125</f>
        <v>0</v>
      </c>
      <c r="P125" s="355">
        <f>KKD!X125</f>
        <v>0</v>
      </c>
      <c r="Q125" s="355">
        <f>WYND!X125</f>
        <v>0</v>
      </c>
      <c r="R125" s="355">
        <f>KNR!X125</f>
        <v>0</v>
      </c>
      <c r="S125" s="355">
        <f>KSRGD!X125</f>
        <v>0</v>
      </c>
      <c r="T125" s="355">
        <f>SHS!X125</f>
        <v>0</v>
      </c>
      <c r="U125" s="22">
        <f t="shared" si="1"/>
        <v>0</v>
      </c>
    </row>
    <row r="126" spans="1:21" ht="110.25">
      <c r="A126" s="498"/>
      <c r="B126" s="43" t="s">
        <v>191</v>
      </c>
      <c r="C126" s="43" t="s">
        <v>192</v>
      </c>
      <c r="D126" s="43">
        <v>119</v>
      </c>
      <c r="E126" s="43" t="s">
        <v>193</v>
      </c>
      <c r="F126" s="355">
        <f>TVM!X126</f>
        <v>5</v>
      </c>
      <c r="G126" s="355">
        <f>KLM!X126</f>
        <v>5</v>
      </c>
      <c r="H126" s="355">
        <f>PTA!X126</f>
        <v>5</v>
      </c>
      <c r="I126" s="355">
        <f>ALP!X126</f>
        <v>5</v>
      </c>
      <c r="J126" s="355">
        <f>KTM!X126</f>
        <v>5</v>
      </c>
      <c r="K126" s="355">
        <f>IDK!X126</f>
        <v>5</v>
      </c>
      <c r="L126" s="355">
        <f>EKM!X126</f>
        <v>5</v>
      </c>
      <c r="M126" s="355">
        <f>TSR!X126</f>
        <v>5</v>
      </c>
      <c r="N126" s="355">
        <f>PLKD!X126</f>
        <v>5</v>
      </c>
      <c r="O126" s="355">
        <f>MLPM!X126</f>
        <v>5</v>
      </c>
      <c r="P126" s="355">
        <f>KKD!X126</f>
        <v>5</v>
      </c>
      <c r="Q126" s="355">
        <f>WYND!X126</f>
        <v>5</v>
      </c>
      <c r="R126" s="355">
        <f>KNR!X126</f>
        <v>5</v>
      </c>
      <c r="S126" s="355">
        <f>KSRGD!X126</f>
        <v>5</v>
      </c>
      <c r="T126" s="355">
        <f>SHS!X126</f>
        <v>0</v>
      </c>
      <c r="U126" s="22">
        <f t="shared" si="1"/>
        <v>70</v>
      </c>
    </row>
    <row r="127" spans="1:21" ht="173.25">
      <c r="A127" s="498"/>
      <c r="B127" s="43" t="s">
        <v>194</v>
      </c>
      <c r="C127" s="43" t="s">
        <v>195</v>
      </c>
      <c r="D127" s="43">
        <v>120</v>
      </c>
      <c r="E127" s="43" t="s">
        <v>196</v>
      </c>
      <c r="F127" s="355">
        <f>TVM!X127</f>
        <v>0</v>
      </c>
      <c r="G127" s="355">
        <f>KLM!X127</f>
        <v>0</v>
      </c>
      <c r="H127" s="355">
        <f>PTA!X127</f>
        <v>0</v>
      </c>
      <c r="I127" s="355">
        <f>ALP!X127</f>
        <v>1.68</v>
      </c>
      <c r="J127" s="355">
        <f>KTM!X127</f>
        <v>0</v>
      </c>
      <c r="K127" s="355">
        <f>IDK!X127</f>
        <v>0</v>
      </c>
      <c r="L127" s="355">
        <f>EKM!X127</f>
        <v>0</v>
      </c>
      <c r="M127" s="355">
        <f>TSR!X127</f>
        <v>0</v>
      </c>
      <c r="N127" s="355">
        <f>PLKD!X127</f>
        <v>1.68</v>
      </c>
      <c r="O127" s="355">
        <f>MLPM!X127</f>
        <v>0</v>
      </c>
      <c r="P127" s="355">
        <f>KKD!X127</f>
        <v>0</v>
      </c>
      <c r="Q127" s="355">
        <f>WYND!X127</f>
        <v>0</v>
      </c>
      <c r="R127" s="355">
        <f>KNR!X127</f>
        <v>0</v>
      </c>
      <c r="S127" s="355">
        <f>KSRGD!X127</f>
        <v>0</v>
      </c>
      <c r="T127" s="355">
        <f>SHS!X127</f>
        <v>0</v>
      </c>
      <c r="U127" s="22">
        <f t="shared" si="1"/>
        <v>3.36</v>
      </c>
    </row>
    <row r="128" spans="1:21" ht="20.25" customHeight="1">
      <c r="A128" s="498"/>
      <c r="B128" s="497" t="s">
        <v>197</v>
      </c>
      <c r="C128" s="497" t="s">
        <v>198</v>
      </c>
      <c r="D128" s="43">
        <v>121</v>
      </c>
      <c r="E128" s="43" t="s">
        <v>199</v>
      </c>
      <c r="F128" s="355">
        <f>TVM!X128</f>
        <v>0</v>
      </c>
      <c r="G128" s="355">
        <f>KLM!X128</f>
        <v>0</v>
      </c>
      <c r="H128" s="355">
        <f>PTA!X128</f>
        <v>0</v>
      </c>
      <c r="I128" s="355">
        <f>ALP!X128</f>
        <v>0</v>
      </c>
      <c r="J128" s="355">
        <f>KTM!X128</f>
        <v>0</v>
      </c>
      <c r="K128" s="355">
        <f>IDK!X128</f>
        <v>0</v>
      </c>
      <c r="L128" s="355">
        <f>EKM!X128</f>
        <v>0</v>
      </c>
      <c r="M128" s="355">
        <f>TSR!X128</f>
        <v>0</v>
      </c>
      <c r="N128" s="355">
        <f>PLKD!X128</f>
        <v>0</v>
      </c>
      <c r="O128" s="355">
        <f>MLPM!X128</f>
        <v>0</v>
      </c>
      <c r="P128" s="355">
        <f>KKD!X128</f>
        <v>0</v>
      </c>
      <c r="Q128" s="355">
        <f>WYND!X128</f>
        <v>0</v>
      </c>
      <c r="R128" s="355">
        <f>KNR!X128</f>
        <v>0</v>
      </c>
      <c r="S128" s="355">
        <f>KSRGD!X128</f>
        <v>0</v>
      </c>
      <c r="T128" s="355">
        <f>SHS!X128</f>
        <v>194.35</v>
      </c>
      <c r="U128" s="22">
        <f t="shared" si="1"/>
        <v>194.35</v>
      </c>
    </row>
    <row r="129" spans="1:21" ht="31.5">
      <c r="A129" s="498"/>
      <c r="B129" s="498"/>
      <c r="C129" s="498"/>
      <c r="D129" s="43">
        <v>122</v>
      </c>
      <c r="E129" s="43" t="s">
        <v>200</v>
      </c>
      <c r="F129" s="355">
        <f>TVM!X129</f>
        <v>0</v>
      </c>
      <c r="G129" s="355">
        <f>KLM!X129</f>
        <v>0</v>
      </c>
      <c r="H129" s="355">
        <f>PTA!X129</f>
        <v>0</v>
      </c>
      <c r="I129" s="355">
        <f>ALP!X129</f>
        <v>0</v>
      </c>
      <c r="J129" s="355">
        <f>KTM!X129</f>
        <v>0</v>
      </c>
      <c r="K129" s="355">
        <f>IDK!X129</f>
        <v>0</v>
      </c>
      <c r="L129" s="355">
        <f>EKM!X129</f>
        <v>0</v>
      </c>
      <c r="M129" s="355">
        <f>TSR!X129</f>
        <v>0</v>
      </c>
      <c r="N129" s="355">
        <f>PLKD!X129</f>
        <v>0</v>
      </c>
      <c r="O129" s="355">
        <f>MLPM!X129</f>
        <v>0</v>
      </c>
      <c r="P129" s="355">
        <f>KKD!X129</f>
        <v>0</v>
      </c>
      <c r="Q129" s="355">
        <f>WYND!X129</f>
        <v>0</v>
      </c>
      <c r="R129" s="355">
        <f>KNR!X129</f>
        <v>0</v>
      </c>
      <c r="S129" s="355">
        <f>KSRGD!X129</f>
        <v>0</v>
      </c>
      <c r="T129" s="355">
        <f>SHS!X129</f>
        <v>0</v>
      </c>
      <c r="U129" s="22">
        <f t="shared" si="1"/>
        <v>0</v>
      </c>
    </row>
    <row r="130" spans="1:21" ht="31.5">
      <c r="A130" s="498"/>
      <c r="B130" s="496"/>
      <c r="C130" s="496"/>
      <c r="D130" s="43">
        <v>123</v>
      </c>
      <c r="E130" s="43" t="s">
        <v>201</v>
      </c>
      <c r="F130" s="355">
        <f>TVM!X130</f>
        <v>0</v>
      </c>
      <c r="G130" s="355">
        <f>KLM!X130</f>
        <v>0</v>
      </c>
      <c r="H130" s="355">
        <f>PTA!X130</f>
        <v>0</v>
      </c>
      <c r="I130" s="355">
        <f>ALP!X130</f>
        <v>0</v>
      </c>
      <c r="J130" s="355">
        <f>KTM!X130</f>
        <v>0</v>
      </c>
      <c r="K130" s="355">
        <f>IDK!X130</f>
        <v>0</v>
      </c>
      <c r="L130" s="355">
        <f>EKM!X130</f>
        <v>0</v>
      </c>
      <c r="M130" s="355">
        <f>TSR!X130</f>
        <v>0</v>
      </c>
      <c r="N130" s="355">
        <f>PLKD!X130</f>
        <v>0</v>
      </c>
      <c r="O130" s="355">
        <f>MLPM!X130</f>
        <v>0</v>
      </c>
      <c r="P130" s="355">
        <f>KKD!X130</f>
        <v>0</v>
      </c>
      <c r="Q130" s="355">
        <f>WYND!X130</f>
        <v>0</v>
      </c>
      <c r="R130" s="355">
        <f>KNR!X130</f>
        <v>0</v>
      </c>
      <c r="S130" s="355">
        <f>KSRGD!X130</f>
        <v>0</v>
      </c>
      <c r="T130" s="355">
        <f>SHS!X130</f>
        <v>0</v>
      </c>
      <c r="U130" s="22">
        <f t="shared" si="1"/>
        <v>0</v>
      </c>
    </row>
    <row r="131" spans="1:21" ht="31.5">
      <c r="A131" s="498"/>
      <c r="B131" s="497" t="s">
        <v>202</v>
      </c>
      <c r="C131" s="497" t="s">
        <v>203</v>
      </c>
      <c r="D131" s="43">
        <v>124</v>
      </c>
      <c r="E131" s="43" t="s">
        <v>204</v>
      </c>
      <c r="F131" s="355">
        <f>TVM!X131</f>
        <v>0</v>
      </c>
      <c r="G131" s="355">
        <f>KLM!X131</f>
        <v>0</v>
      </c>
      <c r="H131" s="355">
        <f>PTA!X131</f>
        <v>0</v>
      </c>
      <c r="I131" s="355">
        <f>ALP!X131</f>
        <v>0</v>
      </c>
      <c r="J131" s="355">
        <f>KTM!X131</f>
        <v>0</v>
      </c>
      <c r="K131" s="355">
        <f>IDK!X131</f>
        <v>0</v>
      </c>
      <c r="L131" s="355">
        <f>EKM!X131</f>
        <v>0</v>
      </c>
      <c r="M131" s="355">
        <f>TSR!X131</f>
        <v>0</v>
      </c>
      <c r="N131" s="355">
        <f>PLKD!X131</f>
        <v>0</v>
      </c>
      <c r="O131" s="355">
        <f>MLPM!X131</f>
        <v>0</v>
      </c>
      <c r="P131" s="355">
        <f>KKD!X131</f>
        <v>0</v>
      </c>
      <c r="Q131" s="355">
        <f>WYND!X131</f>
        <v>0</v>
      </c>
      <c r="R131" s="355">
        <f>KNR!X131</f>
        <v>0</v>
      </c>
      <c r="S131" s="355">
        <f>KSRGD!X131</f>
        <v>0</v>
      </c>
      <c r="T131" s="355">
        <f>SHS!X131</f>
        <v>29</v>
      </c>
      <c r="U131" s="22">
        <f t="shared" si="1"/>
        <v>29</v>
      </c>
    </row>
    <row r="132" spans="1:21" ht="47.25">
      <c r="A132" s="498"/>
      <c r="B132" s="496"/>
      <c r="C132" s="496"/>
      <c r="D132" s="43">
        <v>125</v>
      </c>
      <c r="E132" s="43" t="s">
        <v>205</v>
      </c>
      <c r="F132" s="355">
        <f>TVM!X132</f>
        <v>0</v>
      </c>
      <c r="G132" s="355">
        <f>KLM!X132</f>
        <v>0</v>
      </c>
      <c r="H132" s="355">
        <f>PTA!X132</f>
        <v>0</v>
      </c>
      <c r="I132" s="355">
        <f>ALP!X132</f>
        <v>0</v>
      </c>
      <c r="J132" s="355">
        <f>KTM!X132</f>
        <v>0</v>
      </c>
      <c r="K132" s="355">
        <f>IDK!X132</f>
        <v>0</v>
      </c>
      <c r="L132" s="355">
        <f>EKM!X132</f>
        <v>0</v>
      </c>
      <c r="M132" s="355">
        <f>TSR!X132</f>
        <v>0</v>
      </c>
      <c r="N132" s="355">
        <f>PLKD!X132</f>
        <v>0</v>
      </c>
      <c r="O132" s="355">
        <f>MLPM!X132</f>
        <v>0</v>
      </c>
      <c r="P132" s="355">
        <f>KKD!X132</f>
        <v>0</v>
      </c>
      <c r="Q132" s="355">
        <f>WYND!X132</f>
        <v>0</v>
      </c>
      <c r="R132" s="355">
        <f>KNR!X132</f>
        <v>0</v>
      </c>
      <c r="S132" s="355">
        <f>KSRGD!X132</f>
        <v>0</v>
      </c>
      <c r="T132" s="355">
        <f>SHS!X132</f>
        <v>80</v>
      </c>
      <c r="U132" s="22">
        <f t="shared" si="1"/>
        <v>80</v>
      </c>
    </row>
    <row r="133" spans="1:21" ht="94.5">
      <c r="A133" s="498"/>
      <c r="B133" s="43" t="s">
        <v>206</v>
      </c>
      <c r="C133" s="43" t="s">
        <v>207</v>
      </c>
      <c r="D133" s="43">
        <v>126</v>
      </c>
      <c r="E133" s="43" t="s">
        <v>142</v>
      </c>
      <c r="F133" s="355">
        <f>TVM!X133</f>
        <v>0</v>
      </c>
      <c r="G133" s="355">
        <f>KLM!X133</f>
        <v>0</v>
      </c>
      <c r="H133" s="355">
        <f>PTA!X133</f>
        <v>0</v>
      </c>
      <c r="I133" s="355">
        <f>ALP!X133</f>
        <v>0</v>
      </c>
      <c r="J133" s="355">
        <f>KTM!X133</f>
        <v>0</v>
      </c>
      <c r="K133" s="355">
        <f>IDK!X133</f>
        <v>0</v>
      </c>
      <c r="L133" s="355">
        <f>EKM!X133</f>
        <v>0</v>
      </c>
      <c r="M133" s="355">
        <f>TSR!X133</f>
        <v>0</v>
      </c>
      <c r="N133" s="355">
        <f>PLKD!X133</f>
        <v>0</v>
      </c>
      <c r="O133" s="355">
        <f>MLPM!X133</f>
        <v>0</v>
      </c>
      <c r="P133" s="355">
        <f>KKD!X133</f>
        <v>0</v>
      </c>
      <c r="Q133" s="355">
        <f>WYND!X133</f>
        <v>0</v>
      </c>
      <c r="R133" s="355">
        <f>KNR!X133</f>
        <v>0</v>
      </c>
      <c r="S133" s="355">
        <f>KSRGD!X133</f>
        <v>0</v>
      </c>
      <c r="T133" s="355">
        <f>SHS!X133</f>
        <v>0</v>
      </c>
      <c r="U133" s="22">
        <f t="shared" si="1"/>
        <v>0</v>
      </c>
    </row>
    <row r="134" spans="1:21" s="96" customFormat="1" ht="24.75" customHeight="1">
      <c r="A134" s="496"/>
      <c r="B134" s="521" t="s">
        <v>208</v>
      </c>
      <c r="C134" s="522"/>
      <c r="D134" s="523"/>
      <c r="E134" s="461"/>
      <c r="F134" s="81">
        <f>TVM!X134</f>
        <v>108.25999999999999</v>
      </c>
      <c r="G134" s="81">
        <f>KLM!X134</f>
        <v>110.25999999999999</v>
      </c>
      <c r="H134" s="81">
        <f>PTA!X134</f>
        <v>70.86</v>
      </c>
      <c r="I134" s="81">
        <f>ALP!X134</f>
        <v>96.639999999999986</v>
      </c>
      <c r="J134" s="81">
        <f>KTM!X134</f>
        <v>83.86</v>
      </c>
      <c r="K134" s="81">
        <f>IDK!X134</f>
        <v>72.210000000000008</v>
      </c>
      <c r="L134" s="81">
        <f>EKM!X134</f>
        <v>138.16</v>
      </c>
      <c r="M134" s="81">
        <f>TSR!X134</f>
        <v>87.009999999999991</v>
      </c>
      <c r="N134" s="81">
        <f>PLKD!X134</f>
        <v>93.990000000000009</v>
      </c>
      <c r="O134" s="81">
        <f>MLPM!X134</f>
        <v>91.56</v>
      </c>
      <c r="P134" s="81">
        <f>KKD!X134</f>
        <v>89.16</v>
      </c>
      <c r="Q134" s="81">
        <f>WYND!X134</f>
        <v>63.86</v>
      </c>
      <c r="R134" s="81">
        <f>KNR!X134</f>
        <v>96.51</v>
      </c>
      <c r="S134" s="81">
        <f>KSRGD!X134</f>
        <v>60.86</v>
      </c>
      <c r="T134" s="81">
        <f>SHS!X134</f>
        <v>5813.83</v>
      </c>
      <c r="U134" s="81">
        <f t="shared" si="1"/>
        <v>7077.03</v>
      </c>
    </row>
    <row r="135" spans="1:21" ht="63">
      <c r="A135" s="499" t="s">
        <v>209</v>
      </c>
      <c r="B135" s="497" t="s">
        <v>210</v>
      </c>
      <c r="C135" s="497" t="s">
        <v>211</v>
      </c>
      <c r="D135" s="43">
        <v>127</v>
      </c>
      <c r="E135" s="43" t="s">
        <v>212</v>
      </c>
      <c r="F135" s="355">
        <f>TVM!X135</f>
        <v>0</v>
      </c>
      <c r="G135" s="355">
        <f>KLM!X135</f>
        <v>0</v>
      </c>
      <c r="H135" s="355">
        <f>PTA!X135</f>
        <v>0</v>
      </c>
      <c r="I135" s="355">
        <f>ALP!X135</f>
        <v>0</v>
      </c>
      <c r="J135" s="355">
        <f>KTM!X135</f>
        <v>0</v>
      </c>
      <c r="K135" s="355">
        <f>IDK!X135</f>
        <v>0</v>
      </c>
      <c r="L135" s="355">
        <f>EKM!X135</f>
        <v>0</v>
      </c>
      <c r="M135" s="355">
        <f>TSR!X135</f>
        <v>0</v>
      </c>
      <c r="N135" s="355">
        <f>PLKD!X135</f>
        <v>0</v>
      </c>
      <c r="O135" s="355">
        <f>MLPM!X135</f>
        <v>0</v>
      </c>
      <c r="P135" s="355">
        <f>KKD!X135</f>
        <v>0</v>
      </c>
      <c r="Q135" s="355">
        <f>WYND!X135</f>
        <v>0</v>
      </c>
      <c r="R135" s="355">
        <f>KNR!X135</f>
        <v>0</v>
      </c>
      <c r="S135" s="355">
        <f>KSRGD!X135</f>
        <v>0</v>
      </c>
      <c r="T135" s="355">
        <f>SHS!X135</f>
        <v>0</v>
      </c>
      <c r="U135" s="22">
        <f t="shared" ref="U135:U198" si="2">SUM(F135:T135)</f>
        <v>0</v>
      </c>
    </row>
    <row r="136" spans="1:21" ht="31.5">
      <c r="A136" s="498"/>
      <c r="B136" s="496"/>
      <c r="C136" s="496"/>
      <c r="D136" s="43">
        <v>128</v>
      </c>
      <c r="E136" s="43" t="s">
        <v>213</v>
      </c>
      <c r="F136" s="355">
        <f>TVM!X136</f>
        <v>0</v>
      </c>
      <c r="G136" s="355">
        <f>KLM!X136</f>
        <v>0</v>
      </c>
      <c r="H136" s="355">
        <f>PTA!X136</f>
        <v>0</v>
      </c>
      <c r="I136" s="355">
        <f>ALP!X136</f>
        <v>0</v>
      </c>
      <c r="J136" s="355">
        <f>KTM!X136</f>
        <v>0</v>
      </c>
      <c r="K136" s="355">
        <f>IDK!X136</f>
        <v>0</v>
      </c>
      <c r="L136" s="355">
        <f>EKM!X136</f>
        <v>0</v>
      </c>
      <c r="M136" s="355">
        <f>TSR!X136</f>
        <v>0</v>
      </c>
      <c r="N136" s="355">
        <f>PLKD!X136</f>
        <v>0</v>
      </c>
      <c r="O136" s="355">
        <f>MLPM!X136</f>
        <v>0</v>
      </c>
      <c r="P136" s="355">
        <f>KKD!X136</f>
        <v>0</v>
      </c>
      <c r="Q136" s="355">
        <f>WYND!X136</f>
        <v>0</v>
      </c>
      <c r="R136" s="355">
        <f>KNR!X136</f>
        <v>0</v>
      </c>
      <c r="S136" s="355">
        <f>KSRGD!X136</f>
        <v>0</v>
      </c>
      <c r="T136" s="355">
        <f>SHS!X136</f>
        <v>0</v>
      </c>
      <c r="U136" s="22">
        <f t="shared" si="2"/>
        <v>0</v>
      </c>
    </row>
    <row r="137" spans="1:21" ht="47.25">
      <c r="A137" s="498"/>
      <c r="B137" s="43"/>
      <c r="C137" s="43"/>
      <c r="D137" s="43">
        <v>129</v>
      </c>
      <c r="E137" s="43" t="s">
        <v>214</v>
      </c>
      <c r="F137" s="355">
        <f>TVM!X137</f>
        <v>0</v>
      </c>
      <c r="G137" s="355">
        <f>KLM!X137</f>
        <v>0</v>
      </c>
      <c r="H137" s="355">
        <f>PTA!X137</f>
        <v>0</v>
      </c>
      <c r="I137" s="355">
        <f>ALP!X137</f>
        <v>0</v>
      </c>
      <c r="J137" s="355">
        <f>KTM!X137</f>
        <v>0</v>
      </c>
      <c r="K137" s="355">
        <f>IDK!X137</f>
        <v>0</v>
      </c>
      <c r="L137" s="355">
        <f>EKM!X137</f>
        <v>0</v>
      </c>
      <c r="M137" s="355">
        <f>TSR!X137</f>
        <v>0</v>
      </c>
      <c r="N137" s="355">
        <f>PLKD!X137</f>
        <v>0</v>
      </c>
      <c r="O137" s="355">
        <f>MLPM!X137</f>
        <v>0</v>
      </c>
      <c r="P137" s="355">
        <f>KKD!X137</f>
        <v>0</v>
      </c>
      <c r="Q137" s="355">
        <f>WYND!X137</f>
        <v>0</v>
      </c>
      <c r="R137" s="355">
        <f>KNR!X137</f>
        <v>0</v>
      </c>
      <c r="S137" s="355">
        <f>KSRGD!X137</f>
        <v>0</v>
      </c>
      <c r="T137" s="355">
        <f>SHS!X137</f>
        <v>0</v>
      </c>
      <c r="U137" s="22">
        <f t="shared" si="2"/>
        <v>0</v>
      </c>
    </row>
    <row r="138" spans="1:21" ht="63">
      <c r="A138" s="498"/>
      <c r="B138" s="497" t="s">
        <v>215</v>
      </c>
      <c r="C138" s="497" t="s">
        <v>216</v>
      </c>
      <c r="D138" s="43">
        <v>130</v>
      </c>
      <c r="E138" s="43" t="s">
        <v>217</v>
      </c>
      <c r="F138" s="355">
        <f>TVM!X138</f>
        <v>0</v>
      </c>
      <c r="G138" s="355">
        <f>KLM!X138</f>
        <v>0</v>
      </c>
      <c r="H138" s="355">
        <f>PTA!X138</f>
        <v>0</v>
      </c>
      <c r="I138" s="355">
        <f>ALP!X138</f>
        <v>0</v>
      </c>
      <c r="J138" s="355">
        <f>KTM!X138</f>
        <v>0</v>
      </c>
      <c r="K138" s="355">
        <f>IDK!X138</f>
        <v>0</v>
      </c>
      <c r="L138" s="355">
        <f>EKM!X138</f>
        <v>0</v>
      </c>
      <c r="M138" s="355">
        <f>TSR!X138</f>
        <v>0</v>
      </c>
      <c r="N138" s="355">
        <f>PLKD!X138</f>
        <v>0</v>
      </c>
      <c r="O138" s="355">
        <f>MLPM!X138</f>
        <v>0</v>
      </c>
      <c r="P138" s="355">
        <f>KKD!X138</f>
        <v>0</v>
      </c>
      <c r="Q138" s="355">
        <f>WYND!X138</f>
        <v>0</v>
      </c>
      <c r="R138" s="355">
        <f>KNR!X138</f>
        <v>0</v>
      </c>
      <c r="S138" s="355">
        <f>KSRGD!X138</f>
        <v>0</v>
      </c>
      <c r="T138" s="355">
        <f>SHS!X138</f>
        <v>0</v>
      </c>
      <c r="U138" s="22">
        <f t="shared" si="2"/>
        <v>0</v>
      </c>
    </row>
    <row r="139" spans="1:21">
      <c r="A139" s="498"/>
      <c r="B139" s="498"/>
      <c r="C139" s="498"/>
      <c r="D139" s="43">
        <v>131</v>
      </c>
      <c r="E139" s="43" t="s">
        <v>218</v>
      </c>
      <c r="F139" s="355">
        <f>TVM!X139</f>
        <v>0</v>
      </c>
      <c r="G139" s="355">
        <f>KLM!X139</f>
        <v>0</v>
      </c>
      <c r="H139" s="355">
        <f>PTA!X139</f>
        <v>0</v>
      </c>
      <c r="I139" s="355">
        <f>ALP!X139</f>
        <v>0</v>
      </c>
      <c r="J139" s="355">
        <f>KTM!X139</f>
        <v>0</v>
      </c>
      <c r="K139" s="355">
        <f>IDK!X139</f>
        <v>0</v>
      </c>
      <c r="L139" s="355">
        <f>EKM!X139</f>
        <v>0</v>
      </c>
      <c r="M139" s="355">
        <f>TSR!X139</f>
        <v>0</v>
      </c>
      <c r="N139" s="355">
        <f>PLKD!X139</f>
        <v>0</v>
      </c>
      <c r="O139" s="355">
        <f>MLPM!X139</f>
        <v>0</v>
      </c>
      <c r="P139" s="355">
        <f>KKD!X139</f>
        <v>0</v>
      </c>
      <c r="Q139" s="355">
        <f>WYND!X139</f>
        <v>0</v>
      </c>
      <c r="R139" s="355">
        <f>KNR!X139</f>
        <v>0</v>
      </c>
      <c r="S139" s="355">
        <f>KSRGD!X139</f>
        <v>0</v>
      </c>
      <c r="T139" s="355">
        <f>SHS!X139</f>
        <v>0</v>
      </c>
      <c r="U139" s="22">
        <f t="shared" si="2"/>
        <v>0</v>
      </c>
    </row>
    <row r="140" spans="1:21">
      <c r="A140" s="498"/>
      <c r="B140" s="498"/>
      <c r="C140" s="498"/>
      <c r="D140" s="43">
        <v>132</v>
      </c>
      <c r="E140" s="43" t="s">
        <v>219</v>
      </c>
      <c r="F140" s="355">
        <f>TVM!X140</f>
        <v>0</v>
      </c>
      <c r="G140" s="355">
        <f>KLM!X140</f>
        <v>0</v>
      </c>
      <c r="H140" s="355">
        <f>PTA!X140</f>
        <v>0</v>
      </c>
      <c r="I140" s="355">
        <f>ALP!X140</f>
        <v>0</v>
      </c>
      <c r="J140" s="355">
        <f>KTM!X140</f>
        <v>0</v>
      </c>
      <c r="K140" s="355">
        <f>IDK!X140</f>
        <v>0</v>
      </c>
      <c r="L140" s="355">
        <f>EKM!X140</f>
        <v>0</v>
      </c>
      <c r="M140" s="355">
        <f>TSR!X140</f>
        <v>0</v>
      </c>
      <c r="N140" s="355">
        <f>PLKD!X140</f>
        <v>0</v>
      </c>
      <c r="O140" s="355">
        <f>MLPM!X140</f>
        <v>0</v>
      </c>
      <c r="P140" s="355">
        <f>KKD!X140</f>
        <v>0</v>
      </c>
      <c r="Q140" s="355">
        <f>WYND!X140</f>
        <v>0</v>
      </c>
      <c r="R140" s="355">
        <f>KNR!X140</f>
        <v>0</v>
      </c>
      <c r="S140" s="355">
        <f>KSRGD!X140</f>
        <v>0</v>
      </c>
      <c r="T140" s="355">
        <f>SHS!X140</f>
        <v>0</v>
      </c>
      <c r="U140" s="22">
        <f t="shared" si="2"/>
        <v>0</v>
      </c>
    </row>
    <row r="141" spans="1:21">
      <c r="A141" s="498"/>
      <c r="B141" s="498"/>
      <c r="C141" s="498"/>
      <c r="D141" s="43">
        <v>133</v>
      </c>
      <c r="E141" s="43" t="s">
        <v>220</v>
      </c>
      <c r="F141" s="355">
        <f>TVM!X141</f>
        <v>0</v>
      </c>
      <c r="G141" s="355">
        <f>KLM!X141</f>
        <v>0</v>
      </c>
      <c r="H141" s="355">
        <f>PTA!X141</f>
        <v>0</v>
      </c>
      <c r="I141" s="355">
        <f>ALP!X141</f>
        <v>0</v>
      </c>
      <c r="J141" s="355">
        <f>KTM!X141</f>
        <v>0</v>
      </c>
      <c r="K141" s="355">
        <f>IDK!X141</f>
        <v>0</v>
      </c>
      <c r="L141" s="355">
        <f>EKM!X141</f>
        <v>0</v>
      </c>
      <c r="M141" s="355">
        <f>TSR!X141</f>
        <v>0</v>
      </c>
      <c r="N141" s="355">
        <f>PLKD!X141</f>
        <v>0</v>
      </c>
      <c r="O141" s="355">
        <f>MLPM!X141</f>
        <v>0</v>
      </c>
      <c r="P141" s="355">
        <f>KKD!X141</f>
        <v>0</v>
      </c>
      <c r="Q141" s="355">
        <f>WYND!X141</f>
        <v>0</v>
      </c>
      <c r="R141" s="355">
        <f>KNR!X141</f>
        <v>0</v>
      </c>
      <c r="S141" s="355">
        <f>KSRGD!X141</f>
        <v>0</v>
      </c>
      <c r="T141" s="355">
        <f>SHS!X141</f>
        <v>0</v>
      </c>
      <c r="U141" s="22">
        <f t="shared" si="2"/>
        <v>0</v>
      </c>
    </row>
    <row r="142" spans="1:21">
      <c r="A142" s="498"/>
      <c r="B142" s="498"/>
      <c r="C142" s="498"/>
      <c r="D142" s="43">
        <v>134</v>
      </c>
      <c r="E142" s="43" t="s">
        <v>221</v>
      </c>
      <c r="F142" s="355">
        <f>TVM!X142</f>
        <v>5.7</v>
      </c>
      <c r="G142" s="355">
        <f>KLM!X142</f>
        <v>1.5</v>
      </c>
      <c r="H142" s="355">
        <f>PTA!X142</f>
        <v>0.60000000000000009</v>
      </c>
      <c r="I142" s="355">
        <f>ALP!X142</f>
        <v>1.8000000000000003</v>
      </c>
      <c r="J142" s="355">
        <f>KTM!X142</f>
        <v>0.90000000000000013</v>
      </c>
      <c r="K142" s="355">
        <f>IDK!X142</f>
        <v>0.60000000000000009</v>
      </c>
      <c r="L142" s="355">
        <f>EKM!X142</f>
        <v>4.8000000000000007</v>
      </c>
      <c r="M142" s="355">
        <f>TSR!X142</f>
        <v>2.1</v>
      </c>
      <c r="N142" s="355">
        <f>PLKD!X142</f>
        <v>1.5</v>
      </c>
      <c r="O142" s="355">
        <f>MLPM!X142</f>
        <v>4.2</v>
      </c>
      <c r="P142" s="355">
        <f>KKD!X142</f>
        <v>3.6000000000000005</v>
      </c>
      <c r="Q142" s="355">
        <f>WYND!X142</f>
        <v>0.60000000000000009</v>
      </c>
      <c r="R142" s="355">
        <f>KNR!X142</f>
        <v>2.4000000000000004</v>
      </c>
      <c r="S142" s="355">
        <f>KSRGD!X142</f>
        <v>0.90000000000000013</v>
      </c>
      <c r="T142" s="355">
        <f>SHS!X142</f>
        <v>0</v>
      </c>
      <c r="U142" s="22">
        <f t="shared" si="2"/>
        <v>31.200000000000003</v>
      </c>
    </row>
    <row r="143" spans="1:21" ht="47.25">
      <c r="A143" s="498"/>
      <c r="B143" s="498"/>
      <c r="C143" s="498"/>
      <c r="D143" s="43">
        <v>135</v>
      </c>
      <c r="E143" s="43" t="s">
        <v>223</v>
      </c>
      <c r="F143" s="355">
        <f>TVM!X143</f>
        <v>0</v>
      </c>
      <c r="G143" s="355">
        <f>KLM!X143</f>
        <v>0</v>
      </c>
      <c r="H143" s="355">
        <f>PTA!X143</f>
        <v>0</v>
      </c>
      <c r="I143" s="355">
        <f>ALP!X143</f>
        <v>0</v>
      </c>
      <c r="J143" s="355">
        <f>KTM!X143</f>
        <v>0</v>
      </c>
      <c r="K143" s="355">
        <f>IDK!X143</f>
        <v>0</v>
      </c>
      <c r="L143" s="355">
        <f>EKM!X143</f>
        <v>0</v>
      </c>
      <c r="M143" s="355">
        <f>TSR!X143</f>
        <v>0</v>
      </c>
      <c r="N143" s="355">
        <f>PLKD!X143</f>
        <v>0</v>
      </c>
      <c r="O143" s="355">
        <f>MLPM!X143</f>
        <v>0</v>
      </c>
      <c r="P143" s="355">
        <f>KKD!X143</f>
        <v>0</v>
      </c>
      <c r="Q143" s="355">
        <f>WYND!X143</f>
        <v>0</v>
      </c>
      <c r="R143" s="355">
        <f>KNR!X143</f>
        <v>0</v>
      </c>
      <c r="S143" s="355">
        <f>KSRGD!X143</f>
        <v>0</v>
      </c>
      <c r="T143" s="355">
        <f>SHS!X143</f>
        <v>0</v>
      </c>
      <c r="U143" s="22">
        <f t="shared" si="2"/>
        <v>0</v>
      </c>
    </row>
    <row r="144" spans="1:21" ht="47.25">
      <c r="A144" s="498"/>
      <c r="B144" s="496"/>
      <c r="C144" s="496"/>
      <c r="D144" s="43">
        <v>136</v>
      </c>
      <c r="E144" s="43" t="s">
        <v>224</v>
      </c>
      <c r="F144" s="355">
        <f>TVM!X144</f>
        <v>0</v>
      </c>
      <c r="G144" s="355">
        <f>KLM!X144</f>
        <v>0</v>
      </c>
      <c r="H144" s="355">
        <f>PTA!X144</f>
        <v>0</v>
      </c>
      <c r="I144" s="355">
        <f>ALP!X144</f>
        <v>0</v>
      </c>
      <c r="J144" s="355">
        <f>KTM!X144</f>
        <v>0</v>
      </c>
      <c r="K144" s="355">
        <f>IDK!X144</f>
        <v>0</v>
      </c>
      <c r="L144" s="355">
        <f>EKM!X144</f>
        <v>0</v>
      </c>
      <c r="M144" s="355">
        <f>TSR!X144</f>
        <v>0</v>
      </c>
      <c r="N144" s="355">
        <f>PLKD!X144</f>
        <v>0</v>
      </c>
      <c r="O144" s="355">
        <f>MLPM!X144</f>
        <v>0</v>
      </c>
      <c r="P144" s="355">
        <f>KKD!X144</f>
        <v>0</v>
      </c>
      <c r="Q144" s="355">
        <f>WYND!X144</f>
        <v>0</v>
      </c>
      <c r="R144" s="355">
        <f>KNR!X144</f>
        <v>0</v>
      </c>
      <c r="S144" s="355">
        <f>KSRGD!X144</f>
        <v>0</v>
      </c>
      <c r="T144" s="355">
        <f>SHS!X144</f>
        <v>0</v>
      </c>
      <c r="U144" s="22">
        <f t="shared" si="2"/>
        <v>0</v>
      </c>
    </row>
    <row r="145" spans="1:21">
      <c r="A145" s="498"/>
      <c r="B145" s="497" t="s">
        <v>225</v>
      </c>
      <c r="C145" s="497" t="s">
        <v>226</v>
      </c>
      <c r="D145" s="43">
        <v>137</v>
      </c>
      <c r="E145" s="43" t="s">
        <v>227</v>
      </c>
      <c r="F145" s="355">
        <f>TVM!X145</f>
        <v>0</v>
      </c>
      <c r="G145" s="355">
        <f>KLM!X145</f>
        <v>0</v>
      </c>
      <c r="H145" s="355">
        <f>PTA!X145</f>
        <v>0</v>
      </c>
      <c r="I145" s="355">
        <f>ALP!X145</f>
        <v>0</v>
      </c>
      <c r="J145" s="355">
        <f>KTM!X145</f>
        <v>0</v>
      </c>
      <c r="K145" s="355">
        <f>IDK!X145</f>
        <v>0</v>
      </c>
      <c r="L145" s="355">
        <f>EKM!X145</f>
        <v>0</v>
      </c>
      <c r="M145" s="355">
        <f>TSR!X145</f>
        <v>0</v>
      </c>
      <c r="N145" s="355">
        <f>PLKD!X145</f>
        <v>0</v>
      </c>
      <c r="O145" s="355">
        <f>MLPM!X145</f>
        <v>0</v>
      </c>
      <c r="P145" s="355">
        <f>KKD!X145</f>
        <v>0</v>
      </c>
      <c r="Q145" s="355">
        <f>WYND!X145</f>
        <v>0</v>
      </c>
      <c r="R145" s="355">
        <f>KNR!X145</f>
        <v>0</v>
      </c>
      <c r="S145" s="355">
        <f>KSRGD!X145</f>
        <v>0</v>
      </c>
      <c r="T145" s="355">
        <f>SHS!X145</f>
        <v>0</v>
      </c>
      <c r="U145" s="22">
        <f t="shared" si="2"/>
        <v>0</v>
      </c>
    </row>
    <row r="146" spans="1:21" ht="31.5">
      <c r="A146" s="498"/>
      <c r="B146" s="496"/>
      <c r="C146" s="496"/>
      <c r="D146" s="43">
        <v>138</v>
      </c>
      <c r="E146" s="43" t="s">
        <v>228</v>
      </c>
      <c r="F146" s="355">
        <f>TVM!X146</f>
        <v>0</v>
      </c>
      <c r="G146" s="355">
        <f>KLM!X146</f>
        <v>0</v>
      </c>
      <c r="H146" s="355">
        <f>PTA!X146</f>
        <v>0</v>
      </c>
      <c r="I146" s="355">
        <f>ALP!X146</f>
        <v>0</v>
      </c>
      <c r="J146" s="355">
        <f>KTM!X146</f>
        <v>0</v>
      </c>
      <c r="K146" s="355">
        <f>IDK!X146</f>
        <v>0</v>
      </c>
      <c r="L146" s="355">
        <f>EKM!X146</f>
        <v>0</v>
      </c>
      <c r="M146" s="355">
        <f>TSR!X146</f>
        <v>0</v>
      </c>
      <c r="N146" s="355">
        <f>PLKD!X146</f>
        <v>0</v>
      </c>
      <c r="O146" s="355">
        <f>MLPM!X146</f>
        <v>0</v>
      </c>
      <c r="P146" s="355">
        <f>KKD!X146</f>
        <v>0</v>
      </c>
      <c r="Q146" s="355">
        <f>WYND!X146</f>
        <v>0</v>
      </c>
      <c r="R146" s="355">
        <f>KNR!X146</f>
        <v>0</v>
      </c>
      <c r="S146" s="355">
        <f>KSRGD!X146</f>
        <v>0</v>
      </c>
      <c r="T146" s="355">
        <f>SHS!X146</f>
        <v>0</v>
      </c>
      <c r="U146" s="22">
        <f t="shared" si="2"/>
        <v>0</v>
      </c>
    </row>
    <row r="147" spans="1:21" ht="47.25">
      <c r="A147" s="498"/>
      <c r="B147" s="497" t="s">
        <v>229</v>
      </c>
      <c r="C147" s="497" t="s">
        <v>230</v>
      </c>
      <c r="D147" s="43">
        <v>139</v>
      </c>
      <c r="E147" s="43" t="s">
        <v>231</v>
      </c>
      <c r="F147" s="355">
        <f>TVM!X147</f>
        <v>4</v>
      </c>
      <c r="G147" s="355">
        <f>KLM!X147</f>
        <v>0</v>
      </c>
      <c r="H147" s="355">
        <f>PTA!X147</f>
        <v>0</v>
      </c>
      <c r="I147" s="355">
        <f>ALP!X147</f>
        <v>1</v>
      </c>
      <c r="J147" s="355">
        <f>KTM!X147</f>
        <v>0.5</v>
      </c>
      <c r="K147" s="355">
        <f>IDK!X147</f>
        <v>0</v>
      </c>
      <c r="L147" s="355">
        <f>EKM!X147</f>
        <v>3</v>
      </c>
      <c r="M147" s="355">
        <f>TSR!X147</f>
        <v>0</v>
      </c>
      <c r="N147" s="355">
        <f>PLKD!X147</f>
        <v>0.5</v>
      </c>
      <c r="O147" s="355">
        <f>MLPM!X147</f>
        <v>2</v>
      </c>
      <c r="P147" s="355">
        <f>KKD!X147</f>
        <v>2</v>
      </c>
      <c r="Q147" s="355">
        <f>WYND!X147</f>
        <v>0</v>
      </c>
      <c r="R147" s="355">
        <f>KNR!X147</f>
        <v>0.5</v>
      </c>
      <c r="S147" s="355">
        <f>KSRGD!X147</f>
        <v>0.5</v>
      </c>
      <c r="T147" s="355">
        <f>SHS!X147</f>
        <v>0</v>
      </c>
      <c r="U147" s="22">
        <f t="shared" si="2"/>
        <v>14</v>
      </c>
    </row>
    <row r="148" spans="1:21">
      <c r="A148" s="498"/>
      <c r="B148" s="498"/>
      <c r="C148" s="498"/>
      <c r="D148" s="43">
        <v>140</v>
      </c>
      <c r="E148" s="43" t="s">
        <v>232</v>
      </c>
      <c r="F148" s="355">
        <f>TVM!X148</f>
        <v>2.4300000000000002</v>
      </c>
      <c r="G148" s="355">
        <f>KLM!X148</f>
        <v>0.67</v>
      </c>
      <c r="H148" s="355">
        <f>PTA!X148</f>
        <v>0.27</v>
      </c>
      <c r="I148" s="355">
        <f>ALP!X148</f>
        <v>0.81</v>
      </c>
      <c r="J148" s="355">
        <f>KTM!X148</f>
        <v>0.41</v>
      </c>
      <c r="K148" s="355">
        <f>IDK!X148</f>
        <v>0.27</v>
      </c>
      <c r="L148" s="355">
        <f>EKM!X148</f>
        <v>2.02</v>
      </c>
      <c r="M148" s="355">
        <f>TSR!X148</f>
        <v>0.95</v>
      </c>
      <c r="N148" s="355">
        <f>PLKD!X148</f>
        <v>0.68</v>
      </c>
      <c r="O148" s="355">
        <f>MLPM!X148</f>
        <v>1.89</v>
      </c>
      <c r="P148" s="355">
        <f>KKD!X148</f>
        <v>1.62</v>
      </c>
      <c r="Q148" s="355">
        <f>WYND!X148</f>
        <v>0.27</v>
      </c>
      <c r="R148" s="355">
        <f>KNR!X148</f>
        <v>1.08</v>
      </c>
      <c r="S148" s="355">
        <f>KSRGD!X148</f>
        <v>0.4</v>
      </c>
      <c r="T148" s="355">
        <f>SHS!X148</f>
        <v>20.5</v>
      </c>
      <c r="U148" s="22">
        <f t="shared" si="2"/>
        <v>34.269999999999996</v>
      </c>
    </row>
    <row r="149" spans="1:21" ht="31.5">
      <c r="A149" s="498"/>
      <c r="B149" s="496"/>
      <c r="C149" s="496"/>
      <c r="D149" s="43">
        <v>141</v>
      </c>
      <c r="E149" s="43" t="s">
        <v>233</v>
      </c>
      <c r="F149" s="355">
        <f>TVM!X149</f>
        <v>0</v>
      </c>
      <c r="G149" s="355">
        <f>KLM!X149</f>
        <v>0</v>
      </c>
      <c r="H149" s="355">
        <f>PTA!X149</f>
        <v>0</v>
      </c>
      <c r="I149" s="355">
        <f>ALP!X149</f>
        <v>0</v>
      </c>
      <c r="J149" s="355">
        <f>KTM!X149</f>
        <v>0</v>
      </c>
      <c r="K149" s="355">
        <f>IDK!X149</f>
        <v>0</v>
      </c>
      <c r="L149" s="355">
        <f>EKM!X149</f>
        <v>0</v>
      </c>
      <c r="M149" s="355">
        <f>TSR!X149</f>
        <v>0</v>
      </c>
      <c r="N149" s="355">
        <f>PLKD!X149</f>
        <v>0</v>
      </c>
      <c r="O149" s="355">
        <f>MLPM!X149</f>
        <v>0</v>
      </c>
      <c r="P149" s="355">
        <f>KKD!X149</f>
        <v>0</v>
      </c>
      <c r="Q149" s="355">
        <f>WYND!X149</f>
        <v>0</v>
      </c>
      <c r="R149" s="355">
        <f>KNR!X149</f>
        <v>0</v>
      </c>
      <c r="S149" s="355">
        <f>KSRGD!X149</f>
        <v>0</v>
      </c>
      <c r="T149" s="355">
        <f>SHS!X149</f>
        <v>0</v>
      </c>
      <c r="U149" s="22">
        <f t="shared" si="2"/>
        <v>0</v>
      </c>
    </row>
    <row r="150" spans="1:21" ht="31.5">
      <c r="A150" s="498"/>
      <c r="B150" s="497" t="s">
        <v>234</v>
      </c>
      <c r="C150" s="497" t="s">
        <v>235</v>
      </c>
      <c r="D150" s="43">
        <v>142</v>
      </c>
      <c r="E150" s="43" t="s">
        <v>236</v>
      </c>
      <c r="F150" s="355">
        <f>TVM!X150</f>
        <v>2327.5100000000002</v>
      </c>
      <c r="G150" s="355">
        <f>KLM!X150</f>
        <v>784</v>
      </c>
      <c r="H150" s="355">
        <f>PTA!X150</f>
        <v>375.45</v>
      </c>
      <c r="I150" s="355">
        <f>ALP!X150</f>
        <v>884.66</v>
      </c>
      <c r="J150" s="355">
        <f>KTM!X150</f>
        <v>660.57</v>
      </c>
      <c r="K150" s="355">
        <f>IDK!X150</f>
        <v>368.16</v>
      </c>
      <c r="L150" s="355">
        <f>EKM!X150</f>
        <v>1930.3863600000002</v>
      </c>
      <c r="M150" s="355">
        <f>TSR!X150</f>
        <v>1094.48</v>
      </c>
      <c r="N150" s="355">
        <f>PLKD!X150</f>
        <v>902</v>
      </c>
      <c r="O150" s="355">
        <f>MLPM!X150</f>
        <v>1702</v>
      </c>
      <c r="P150" s="355">
        <f>KKD!X150</f>
        <v>1565.54</v>
      </c>
      <c r="Q150" s="355">
        <f>WYND!X150</f>
        <v>348.88400000000001</v>
      </c>
      <c r="R150" s="355">
        <f>KNR!X150</f>
        <v>1045.04</v>
      </c>
      <c r="S150" s="355">
        <f>KSRGD!X150</f>
        <v>493.48599999999999</v>
      </c>
      <c r="T150" s="355">
        <f>SHS!X150</f>
        <v>999.29499999999996</v>
      </c>
      <c r="U150" s="22">
        <f t="shared" si="2"/>
        <v>15481.461359999999</v>
      </c>
    </row>
    <row r="151" spans="1:21" ht="47.25">
      <c r="A151" s="498"/>
      <c r="B151" s="498"/>
      <c r="C151" s="498"/>
      <c r="D151" s="43">
        <v>143</v>
      </c>
      <c r="E151" s="43" t="s">
        <v>237</v>
      </c>
      <c r="F151" s="355">
        <f>TVM!X151</f>
        <v>0</v>
      </c>
      <c r="G151" s="355">
        <f>KLM!X151</f>
        <v>0</v>
      </c>
      <c r="H151" s="355">
        <f>PTA!X151</f>
        <v>0</v>
      </c>
      <c r="I151" s="355">
        <f>ALP!X151</f>
        <v>0</v>
      </c>
      <c r="J151" s="355">
        <f>KTM!X151</f>
        <v>0</v>
      </c>
      <c r="K151" s="355">
        <f>IDK!X151</f>
        <v>0</v>
      </c>
      <c r="L151" s="355">
        <f>EKM!X151</f>
        <v>0</v>
      </c>
      <c r="M151" s="355">
        <f>TSR!X151</f>
        <v>0</v>
      </c>
      <c r="N151" s="355">
        <f>PLKD!X151</f>
        <v>0</v>
      </c>
      <c r="O151" s="355">
        <f>MLPM!X151</f>
        <v>0</v>
      </c>
      <c r="P151" s="355">
        <f>KKD!X151</f>
        <v>0</v>
      </c>
      <c r="Q151" s="355">
        <f>WYND!X151</f>
        <v>0</v>
      </c>
      <c r="R151" s="355">
        <f>KNR!X151</f>
        <v>0</v>
      </c>
      <c r="S151" s="355">
        <f>KSRGD!X151</f>
        <v>0</v>
      </c>
      <c r="T151" s="355">
        <f>SHS!X151</f>
        <v>0</v>
      </c>
      <c r="U151" s="22">
        <f t="shared" si="2"/>
        <v>0</v>
      </c>
    </row>
    <row r="152" spans="1:21" ht="31.5">
      <c r="A152" s="498"/>
      <c r="B152" s="498"/>
      <c r="C152" s="498"/>
      <c r="D152" s="43">
        <v>144</v>
      </c>
      <c r="E152" s="43" t="s">
        <v>238</v>
      </c>
      <c r="F152" s="355">
        <f>TVM!X152</f>
        <v>0</v>
      </c>
      <c r="G152" s="355">
        <f>KLM!X152</f>
        <v>0</v>
      </c>
      <c r="H152" s="355">
        <f>PTA!X152</f>
        <v>0</v>
      </c>
      <c r="I152" s="355">
        <f>ALP!X152</f>
        <v>0</v>
      </c>
      <c r="J152" s="355">
        <f>KTM!X152</f>
        <v>0</v>
      </c>
      <c r="K152" s="355">
        <f>IDK!X152</f>
        <v>0</v>
      </c>
      <c r="L152" s="355">
        <f>EKM!X152</f>
        <v>0</v>
      </c>
      <c r="M152" s="355">
        <f>TSR!X152</f>
        <v>0</v>
      </c>
      <c r="N152" s="355">
        <f>PLKD!X152</f>
        <v>0</v>
      </c>
      <c r="O152" s="355">
        <f>MLPM!X152</f>
        <v>0</v>
      </c>
      <c r="P152" s="355">
        <f>KKD!X152</f>
        <v>0</v>
      </c>
      <c r="Q152" s="355">
        <f>WYND!X152</f>
        <v>0</v>
      </c>
      <c r="R152" s="355">
        <f>KNR!X152</f>
        <v>0</v>
      </c>
      <c r="S152" s="355">
        <f>KSRGD!X152</f>
        <v>0</v>
      </c>
      <c r="T152" s="355">
        <f>SHS!X152</f>
        <v>0</v>
      </c>
      <c r="U152" s="22">
        <f t="shared" si="2"/>
        <v>0</v>
      </c>
    </row>
    <row r="153" spans="1:21" ht="63">
      <c r="A153" s="498"/>
      <c r="B153" s="496"/>
      <c r="C153" s="496"/>
      <c r="D153" s="43">
        <v>145</v>
      </c>
      <c r="E153" s="43" t="s">
        <v>239</v>
      </c>
      <c r="F153" s="355">
        <f>TVM!X153</f>
        <v>0</v>
      </c>
      <c r="G153" s="355">
        <f>KLM!X153</f>
        <v>0</v>
      </c>
      <c r="H153" s="355">
        <f>PTA!X153</f>
        <v>0</v>
      </c>
      <c r="I153" s="355">
        <f>ALP!X153</f>
        <v>0</v>
      </c>
      <c r="J153" s="355">
        <f>KTM!X153</f>
        <v>0</v>
      </c>
      <c r="K153" s="355">
        <f>IDK!X153</f>
        <v>0</v>
      </c>
      <c r="L153" s="355">
        <f>EKM!X153</f>
        <v>0</v>
      </c>
      <c r="M153" s="355">
        <f>TSR!X153</f>
        <v>0</v>
      </c>
      <c r="N153" s="355">
        <f>PLKD!X153</f>
        <v>0</v>
      </c>
      <c r="O153" s="355">
        <f>MLPM!X153</f>
        <v>0</v>
      </c>
      <c r="P153" s="355">
        <f>KKD!X153</f>
        <v>0</v>
      </c>
      <c r="Q153" s="355">
        <f>WYND!X153</f>
        <v>0</v>
      </c>
      <c r="R153" s="355">
        <f>KNR!X153</f>
        <v>0</v>
      </c>
      <c r="S153" s="355">
        <f>KSRGD!X153</f>
        <v>0</v>
      </c>
      <c r="T153" s="355">
        <f>SHS!X153</f>
        <v>0</v>
      </c>
      <c r="U153" s="22">
        <f t="shared" si="2"/>
        <v>0</v>
      </c>
    </row>
    <row r="154" spans="1:21" ht="63">
      <c r="A154" s="498"/>
      <c r="B154" s="43" t="s">
        <v>240</v>
      </c>
      <c r="C154" s="43" t="s">
        <v>241</v>
      </c>
      <c r="D154" s="43">
        <v>146</v>
      </c>
      <c r="E154" s="43" t="s">
        <v>242</v>
      </c>
      <c r="F154" s="355">
        <f>TVM!X154</f>
        <v>6.0000000000000009</v>
      </c>
      <c r="G154" s="355">
        <f>KLM!X154</f>
        <v>6.0000000000000009</v>
      </c>
      <c r="H154" s="355">
        <f>PTA!X154</f>
        <v>6</v>
      </c>
      <c r="I154" s="355">
        <f>ALP!X154</f>
        <v>6</v>
      </c>
      <c r="J154" s="355">
        <f>KTM!X154</f>
        <v>6.0000000000000009</v>
      </c>
      <c r="K154" s="355">
        <f>IDK!X154</f>
        <v>6</v>
      </c>
      <c r="L154" s="355">
        <f>EKM!X154</f>
        <v>6</v>
      </c>
      <c r="M154" s="355">
        <f>TSR!X154</f>
        <v>6</v>
      </c>
      <c r="N154" s="355">
        <f>PLKD!X154</f>
        <v>6.0000000000000009</v>
      </c>
      <c r="O154" s="355">
        <f>MLPM!X154</f>
        <v>6.0000000000000009</v>
      </c>
      <c r="P154" s="355">
        <f>KKD!X154</f>
        <v>6.0000000000000009</v>
      </c>
      <c r="Q154" s="355">
        <f>WYND!X154</f>
        <v>6.0000000000000009</v>
      </c>
      <c r="R154" s="355">
        <f>KNR!X154</f>
        <v>6.0000000000000009</v>
      </c>
      <c r="S154" s="355">
        <f>KSRGD!X154</f>
        <v>6.0000000000000009</v>
      </c>
      <c r="T154" s="355">
        <f>SHS!X154</f>
        <v>7.8</v>
      </c>
      <c r="U154" s="22">
        <f t="shared" si="2"/>
        <v>91.8</v>
      </c>
    </row>
    <row r="155" spans="1:21" ht="31.5">
      <c r="A155" s="498"/>
      <c r="B155" s="43" t="s">
        <v>243</v>
      </c>
      <c r="C155" s="43" t="s">
        <v>244</v>
      </c>
      <c r="D155" s="43">
        <v>147</v>
      </c>
      <c r="E155" s="43" t="s">
        <v>125</v>
      </c>
      <c r="F155" s="355">
        <f>TVM!X155</f>
        <v>0</v>
      </c>
      <c r="G155" s="355">
        <f>KLM!X155</f>
        <v>0</v>
      </c>
      <c r="H155" s="355">
        <f>PTA!X155</f>
        <v>0</v>
      </c>
      <c r="I155" s="355">
        <f>ALP!X155</f>
        <v>0</v>
      </c>
      <c r="J155" s="355">
        <f>KTM!X155</f>
        <v>0</v>
      </c>
      <c r="K155" s="355">
        <f>IDK!X155</f>
        <v>0</v>
      </c>
      <c r="L155" s="355">
        <f>EKM!X155</f>
        <v>0</v>
      </c>
      <c r="M155" s="355">
        <f>TSR!X155</f>
        <v>0</v>
      </c>
      <c r="N155" s="355">
        <f>PLKD!X155</f>
        <v>0</v>
      </c>
      <c r="O155" s="355">
        <f>MLPM!X155</f>
        <v>0</v>
      </c>
      <c r="P155" s="355">
        <f>KKD!X155</f>
        <v>0</v>
      </c>
      <c r="Q155" s="355">
        <f>WYND!X155</f>
        <v>0</v>
      </c>
      <c r="R155" s="355">
        <f>KNR!X155</f>
        <v>0</v>
      </c>
      <c r="S155" s="355">
        <f>KSRGD!X155</f>
        <v>0</v>
      </c>
      <c r="T155" s="355">
        <f>SHS!X155</f>
        <v>0</v>
      </c>
      <c r="U155" s="22">
        <f t="shared" si="2"/>
        <v>0</v>
      </c>
    </row>
    <row r="156" spans="1:21" ht="63">
      <c r="A156" s="498"/>
      <c r="B156" s="43" t="s">
        <v>245</v>
      </c>
      <c r="C156" s="43" t="s">
        <v>246</v>
      </c>
      <c r="D156" s="43">
        <v>148</v>
      </c>
      <c r="E156" s="43" t="s">
        <v>247</v>
      </c>
      <c r="F156" s="355">
        <f>TVM!X156</f>
        <v>0</v>
      </c>
      <c r="G156" s="355">
        <f>KLM!X156</f>
        <v>0</v>
      </c>
      <c r="H156" s="355">
        <f>PTA!X156</f>
        <v>0</v>
      </c>
      <c r="I156" s="355">
        <f>ALP!X156</f>
        <v>0</v>
      </c>
      <c r="J156" s="355">
        <f>KTM!X156</f>
        <v>0</v>
      </c>
      <c r="K156" s="355">
        <f>IDK!X156</f>
        <v>0</v>
      </c>
      <c r="L156" s="355">
        <f>EKM!X156</f>
        <v>0</v>
      </c>
      <c r="M156" s="355">
        <f>TSR!X156</f>
        <v>0</v>
      </c>
      <c r="N156" s="355">
        <f>PLKD!X156</f>
        <v>0</v>
      </c>
      <c r="O156" s="355">
        <f>MLPM!X156</f>
        <v>0</v>
      </c>
      <c r="P156" s="355">
        <f>KKD!X156</f>
        <v>0</v>
      </c>
      <c r="Q156" s="355">
        <f>WYND!X156</f>
        <v>0</v>
      </c>
      <c r="R156" s="355">
        <f>KNR!X156</f>
        <v>0</v>
      </c>
      <c r="S156" s="355">
        <f>KSRGD!X156</f>
        <v>0</v>
      </c>
      <c r="T156" s="355">
        <f>SHS!X156</f>
        <v>0</v>
      </c>
      <c r="U156" s="22">
        <f t="shared" si="2"/>
        <v>0</v>
      </c>
    </row>
    <row r="157" spans="1:21" ht="31.5">
      <c r="A157" s="498"/>
      <c r="B157" s="43" t="s">
        <v>248</v>
      </c>
      <c r="C157" s="43" t="s">
        <v>249</v>
      </c>
      <c r="D157" s="43">
        <v>149</v>
      </c>
      <c r="E157" s="43" t="s">
        <v>250</v>
      </c>
      <c r="F157" s="355">
        <f>TVM!X157</f>
        <v>7.92</v>
      </c>
      <c r="G157" s="355">
        <f>KLM!X157</f>
        <v>2.25</v>
      </c>
      <c r="H157" s="355">
        <f>PTA!X157</f>
        <v>1.23</v>
      </c>
      <c r="I157" s="355">
        <f>ALP!X157</f>
        <v>3.27</v>
      </c>
      <c r="J157" s="355">
        <f>KTM!X157</f>
        <v>1.3499999999999999</v>
      </c>
      <c r="K157" s="355">
        <f>IDK!X157</f>
        <v>0.96</v>
      </c>
      <c r="L157" s="355">
        <f>EKM!X157</f>
        <v>5.58</v>
      </c>
      <c r="M157" s="355">
        <f>TSR!X157</f>
        <v>3.9</v>
      </c>
      <c r="N157" s="355">
        <f>PLKD!X157</f>
        <v>2.25</v>
      </c>
      <c r="O157" s="355">
        <f>MLPM!X157</f>
        <v>5.3999999999999995</v>
      </c>
      <c r="P157" s="355">
        <f>KKD!X157</f>
        <v>5.22</v>
      </c>
      <c r="Q157" s="355">
        <f>WYND!X157</f>
        <v>0.89999999999999991</v>
      </c>
      <c r="R157" s="355">
        <f>KNR!X157</f>
        <v>3.5999999999999996</v>
      </c>
      <c r="S157" s="355">
        <f>KSRGD!X157</f>
        <v>1.47</v>
      </c>
      <c r="T157" s="355">
        <f>SHS!X157</f>
        <v>0</v>
      </c>
      <c r="U157" s="22">
        <f t="shared" si="2"/>
        <v>45.3</v>
      </c>
    </row>
    <row r="158" spans="1:21" ht="37.5" customHeight="1">
      <c r="A158" s="496"/>
      <c r="B158" s="500" t="s">
        <v>251</v>
      </c>
      <c r="C158" s="489"/>
      <c r="D158" s="490"/>
      <c r="E158" s="59"/>
      <c r="F158" s="59">
        <f>TVM!X158</f>
        <v>2353.5600000000004</v>
      </c>
      <c r="G158" s="59">
        <f>KLM!X158</f>
        <v>794.42</v>
      </c>
      <c r="H158" s="59">
        <f>PTA!X158</f>
        <v>383.55</v>
      </c>
      <c r="I158" s="59">
        <f>ALP!X158</f>
        <v>897.54</v>
      </c>
      <c r="J158" s="59">
        <f>KTM!X158</f>
        <v>669.73</v>
      </c>
      <c r="K158" s="59">
        <f>IDK!X158</f>
        <v>375.99</v>
      </c>
      <c r="L158" s="59">
        <f>EKM!X158</f>
        <v>1951.7863600000001</v>
      </c>
      <c r="M158" s="59">
        <f>TSR!X158</f>
        <v>1107.43</v>
      </c>
      <c r="N158" s="59">
        <f>PLKD!X158</f>
        <v>912.93</v>
      </c>
      <c r="O158" s="59">
        <f>MLPM!X158</f>
        <v>1721.49</v>
      </c>
      <c r="P158" s="59">
        <f>KKD!X158</f>
        <v>1583.98</v>
      </c>
      <c r="Q158" s="59">
        <f>WYND!X158</f>
        <v>356.654</v>
      </c>
      <c r="R158" s="59">
        <f>KNR!X158</f>
        <v>1058.6199999999999</v>
      </c>
      <c r="S158" s="59">
        <f>KSRGD!X158</f>
        <v>502.75600000000003</v>
      </c>
      <c r="T158" s="59">
        <f>SHS!X158</f>
        <v>1027.595</v>
      </c>
      <c r="U158" s="59">
        <f t="shared" si="2"/>
        <v>15698.031360000001</v>
      </c>
    </row>
    <row r="159" spans="1:21" ht="63">
      <c r="A159" s="499" t="s">
        <v>252</v>
      </c>
      <c r="B159" s="497" t="s">
        <v>253</v>
      </c>
      <c r="C159" s="497" t="s">
        <v>211</v>
      </c>
      <c r="D159" s="43">
        <v>150</v>
      </c>
      <c r="E159" s="43" t="s">
        <v>239</v>
      </c>
      <c r="F159" s="355">
        <f>TVM!X159</f>
        <v>196</v>
      </c>
      <c r="G159" s="355">
        <f>KLM!X159</f>
        <v>96</v>
      </c>
      <c r="H159" s="355">
        <f>PTA!X159</f>
        <v>181</v>
      </c>
      <c r="I159" s="355">
        <f>ALP!X159</f>
        <v>131</v>
      </c>
      <c r="J159" s="355">
        <f>KTM!X159</f>
        <v>131</v>
      </c>
      <c r="K159" s="355">
        <f>IDK!X159</f>
        <v>191</v>
      </c>
      <c r="L159" s="355">
        <f>EKM!X159</f>
        <v>196</v>
      </c>
      <c r="M159" s="355">
        <f>TSR!X159</f>
        <v>126</v>
      </c>
      <c r="N159" s="355">
        <f>PLKD!X159</f>
        <v>116</v>
      </c>
      <c r="O159" s="355">
        <f>MLPM!X159</f>
        <v>146</v>
      </c>
      <c r="P159" s="355">
        <f>KKD!X159</f>
        <v>91</v>
      </c>
      <c r="Q159" s="355">
        <f>WYND!X159</f>
        <v>61</v>
      </c>
      <c r="R159" s="355">
        <f>KNR!X159</f>
        <v>141</v>
      </c>
      <c r="S159" s="355">
        <f>KSRGD!X159</f>
        <v>211</v>
      </c>
      <c r="T159" s="355">
        <f>SHS!X159</f>
        <v>0</v>
      </c>
      <c r="U159" s="22">
        <f t="shared" si="2"/>
        <v>2014</v>
      </c>
    </row>
    <row r="160" spans="1:21" ht="31.5">
      <c r="A160" s="498"/>
      <c r="B160" s="498"/>
      <c r="C160" s="498"/>
      <c r="D160" s="43">
        <v>151</v>
      </c>
      <c r="E160" s="43" t="s">
        <v>254</v>
      </c>
      <c r="F160" s="355">
        <f>TVM!X160</f>
        <v>0</v>
      </c>
      <c r="G160" s="355">
        <f>KLM!X160</f>
        <v>0</v>
      </c>
      <c r="H160" s="355">
        <f>PTA!X160</f>
        <v>0</v>
      </c>
      <c r="I160" s="355">
        <f>ALP!X160</f>
        <v>0</v>
      </c>
      <c r="J160" s="355">
        <f>KTM!X160</f>
        <v>0</v>
      </c>
      <c r="K160" s="355">
        <f>IDK!X160</f>
        <v>0</v>
      </c>
      <c r="L160" s="355">
        <f>EKM!X160</f>
        <v>0</v>
      </c>
      <c r="M160" s="355">
        <f>TSR!X160</f>
        <v>0</v>
      </c>
      <c r="N160" s="355">
        <f>PLKD!X160</f>
        <v>0</v>
      </c>
      <c r="O160" s="355">
        <f>MLPM!X160</f>
        <v>0</v>
      </c>
      <c r="P160" s="355">
        <f>KKD!X160</f>
        <v>0</v>
      </c>
      <c r="Q160" s="355">
        <f>WYND!X160</f>
        <v>0</v>
      </c>
      <c r="R160" s="355">
        <f>KNR!X160</f>
        <v>0</v>
      </c>
      <c r="S160" s="355">
        <f>KSRGD!X160</f>
        <v>0</v>
      </c>
      <c r="T160" s="355">
        <f>SHS!X160</f>
        <v>0</v>
      </c>
      <c r="U160" s="22">
        <f t="shared" si="2"/>
        <v>0</v>
      </c>
    </row>
    <row r="161" spans="1:21" ht="47.25">
      <c r="A161" s="498"/>
      <c r="B161" s="498"/>
      <c r="C161" s="498"/>
      <c r="D161" s="43">
        <v>152</v>
      </c>
      <c r="E161" s="43" t="s">
        <v>255</v>
      </c>
      <c r="F161" s="355">
        <f>TVM!X161</f>
        <v>17.532</v>
      </c>
      <c r="G161" s="355">
        <f>KLM!X161</f>
        <v>15.156000000000001</v>
      </c>
      <c r="H161" s="355">
        <f>PTA!X161</f>
        <v>9.3960000000000008</v>
      </c>
      <c r="I161" s="355">
        <f>ALP!X161</f>
        <v>13.176</v>
      </c>
      <c r="J161" s="355">
        <f>KTM!X161</f>
        <v>11.988</v>
      </c>
      <c r="K161" s="355">
        <f>IDK!X161</f>
        <v>11.124000000000001</v>
      </c>
      <c r="L161" s="355">
        <f>EKM!X161</f>
        <v>14.76</v>
      </c>
      <c r="M161" s="355">
        <f>TSR!X161</f>
        <v>16.956</v>
      </c>
      <c r="N161" s="355">
        <f>PLKD!X161</f>
        <v>18.143999999999998</v>
      </c>
      <c r="O161" s="355">
        <f>MLPM!X161</f>
        <v>21.204000000000001</v>
      </c>
      <c r="P161" s="355">
        <f>KKD!X161</f>
        <v>14.436</v>
      </c>
      <c r="Q161" s="355">
        <f>WYND!X161</f>
        <v>7.2</v>
      </c>
      <c r="R161" s="355">
        <f>KNR!X161</f>
        <v>15.012</v>
      </c>
      <c r="S161" s="355">
        <f>KSRGD!X161</f>
        <v>8.8919999999999995</v>
      </c>
      <c r="T161" s="355">
        <f>SHS!X161</f>
        <v>0</v>
      </c>
      <c r="U161" s="22">
        <f t="shared" si="2"/>
        <v>194.976</v>
      </c>
    </row>
    <row r="162" spans="1:21">
      <c r="A162" s="498"/>
      <c r="B162" s="496"/>
      <c r="C162" s="496"/>
      <c r="D162" s="43">
        <v>153</v>
      </c>
      <c r="E162" s="43" t="s">
        <v>256</v>
      </c>
      <c r="F162" s="355">
        <f>TVM!X162</f>
        <v>0</v>
      </c>
      <c r="G162" s="355">
        <f>KLM!X162</f>
        <v>0</v>
      </c>
      <c r="H162" s="355">
        <f>PTA!X162</f>
        <v>0</v>
      </c>
      <c r="I162" s="355">
        <f>ALP!X162</f>
        <v>0</v>
      </c>
      <c r="J162" s="355">
        <f>KTM!X162</f>
        <v>0</v>
      </c>
      <c r="K162" s="355">
        <f>IDK!X162</f>
        <v>0</v>
      </c>
      <c r="L162" s="355">
        <f>EKM!X162</f>
        <v>0</v>
      </c>
      <c r="M162" s="355">
        <f>TSR!X162</f>
        <v>0</v>
      </c>
      <c r="N162" s="355">
        <f>PLKD!X162</f>
        <v>0</v>
      </c>
      <c r="O162" s="355">
        <f>MLPM!X162</f>
        <v>0</v>
      </c>
      <c r="P162" s="355">
        <f>KKD!X162</f>
        <v>0</v>
      </c>
      <c r="Q162" s="355">
        <f>WYND!X162</f>
        <v>0</v>
      </c>
      <c r="R162" s="355">
        <f>KNR!X162</f>
        <v>0</v>
      </c>
      <c r="S162" s="355">
        <f>KSRGD!X162</f>
        <v>0</v>
      </c>
      <c r="T162" s="355">
        <f>SHS!X162</f>
        <v>6</v>
      </c>
      <c r="U162" s="22">
        <f t="shared" si="2"/>
        <v>6</v>
      </c>
    </row>
    <row r="163" spans="1:21" ht="31.5">
      <c r="A163" s="498"/>
      <c r="B163" s="497" t="s">
        <v>257</v>
      </c>
      <c r="C163" s="497" t="s">
        <v>258</v>
      </c>
      <c r="D163" s="43">
        <v>154</v>
      </c>
      <c r="E163" s="43" t="s">
        <v>259</v>
      </c>
      <c r="F163" s="355">
        <f>TVM!X163</f>
        <v>0</v>
      </c>
      <c r="G163" s="355">
        <f>KLM!X163</f>
        <v>0</v>
      </c>
      <c r="H163" s="355">
        <f>PTA!X163</f>
        <v>0</v>
      </c>
      <c r="I163" s="355">
        <f>ALP!X163</f>
        <v>0</v>
      </c>
      <c r="J163" s="355">
        <f>KTM!X163</f>
        <v>0</v>
      </c>
      <c r="K163" s="355">
        <f>IDK!X163</f>
        <v>0</v>
      </c>
      <c r="L163" s="355">
        <f>EKM!X163</f>
        <v>0</v>
      </c>
      <c r="M163" s="355">
        <f>TSR!X163</f>
        <v>0</v>
      </c>
      <c r="N163" s="355">
        <f>PLKD!X163</f>
        <v>0</v>
      </c>
      <c r="O163" s="355">
        <f>MLPM!X163</f>
        <v>0</v>
      </c>
      <c r="P163" s="355">
        <f>KKD!X163</f>
        <v>0</v>
      </c>
      <c r="Q163" s="355">
        <f>WYND!X163</f>
        <v>0</v>
      </c>
      <c r="R163" s="355">
        <f>KNR!X163</f>
        <v>0</v>
      </c>
      <c r="S163" s="355">
        <f>KSRGD!X163</f>
        <v>0</v>
      </c>
      <c r="T163" s="355">
        <f>SHS!X163</f>
        <v>5628.81</v>
      </c>
      <c r="U163" s="22">
        <f t="shared" si="2"/>
        <v>5628.81</v>
      </c>
    </row>
    <row r="164" spans="1:21" ht="31.5">
      <c r="A164" s="498"/>
      <c r="B164" s="498"/>
      <c r="C164" s="498"/>
      <c r="D164" s="43">
        <v>155</v>
      </c>
      <c r="E164" s="43" t="s">
        <v>260</v>
      </c>
      <c r="F164" s="355">
        <f>TVM!X164</f>
        <v>0</v>
      </c>
      <c r="G164" s="355">
        <f>KLM!X164</f>
        <v>0</v>
      </c>
      <c r="H164" s="355">
        <f>PTA!X164</f>
        <v>0</v>
      </c>
      <c r="I164" s="355">
        <f>ALP!X164</f>
        <v>0</v>
      </c>
      <c r="J164" s="355">
        <f>KTM!X164</f>
        <v>0</v>
      </c>
      <c r="K164" s="355">
        <f>IDK!X164</f>
        <v>0</v>
      </c>
      <c r="L164" s="355">
        <f>EKM!X164</f>
        <v>0</v>
      </c>
      <c r="M164" s="355">
        <f>TSR!X164</f>
        <v>0</v>
      </c>
      <c r="N164" s="355">
        <f>PLKD!X164</f>
        <v>0</v>
      </c>
      <c r="O164" s="355">
        <f>MLPM!X164</f>
        <v>0</v>
      </c>
      <c r="P164" s="355">
        <f>KKD!X164</f>
        <v>0</v>
      </c>
      <c r="Q164" s="355">
        <f>WYND!X164</f>
        <v>0</v>
      </c>
      <c r="R164" s="355">
        <f>KNR!X164</f>
        <v>0</v>
      </c>
      <c r="S164" s="355">
        <f>KSRGD!X164</f>
        <v>0</v>
      </c>
      <c r="T164" s="355">
        <f>SHS!X164</f>
        <v>0</v>
      </c>
      <c r="U164" s="22">
        <f t="shared" si="2"/>
        <v>0</v>
      </c>
    </row>
    <row r="165" spans="1:21" ht="63">
      <c r="A165" s="498"/>
      <c r="B165" s="498"/>
      <c r="C165" s="498"/>
      <c r="D165" s="43">
        <v>156</v>
      </c>
      <c r="E165" s="43" t="s">
        <v>261</v>
      </c>
      <c r="F165" s="355">
        <f>TVM!X165</f>
        <v>1</v>
      </c>
      <c r="G165" s="355">
        <f>KLM!X165</f>
        <v>1</v>
      </c>
      <c r="H165" s="355">
        <f>PTA!X165</f>
        <v>1</v>
      </c>
      <c r="I165" s="355">
        <f>ALP!X165</f>
        <v>1</v>
      </c>
      <c r="J165" s="355">
        <f>KTM!X165</f>
        <v>2</v>
      </c>
      <c r="K165" s="355">
        <f>IDK!X165</f>
        <v>1</v>
      </c>
      <c r="L165" s="355">
        <f>EKM!X165</f>
        <v>1</v>
      </c>
      <c r="M165" s="355">
        <f>TSR!X165</f>
        <v>2</v>
      </c>
      <c r="N165" s="355">
        <f>PLKD!X165</f>
        <v>1</v>
      </c>
      <c r="O165" s="355">
        <f>MLPM!X165</f>
        <v>1</v>
      </c>
      <c r="P165" s="355">
        <f>KKD!X165</f>
        <v>2</v>
      </c>
      <c r="Q165" s="355">
        <f>WYND!X165</f>
        <v>1</v>
      </c>
      <c r="R165" s="355">
        <f>KNR!X165</f>
        <v>1</v>
      </c>
      <c r="S165" s="355">
        <f>KSRGD!X165</f>
        <v>1</v>
      </c>
      <c r="T165" s="355">
        <f>SHS!X165</f>
        <v>162.711849</v>
      </c>
      <c r="U165" s="22">
        <f t="shared" si="2"/>
        <v>179.711849</v>
      </c>
    </row>
    <row r="166" spans="1:21" ht="31.5">
      <c r="A166" s="498"/>
      <c r="B166" s="498"/>
      <c r="C166" s="498"/>
      <c r="D166" s="43">
        <v>157</v>
      </c>
      <c r="E166" s="43" t="s">
        <v>262</v>
      </c>
      <c r="F166" s="355">
        <f>TVM!X166</f>
        <v>0</v>
      </c>
      <c r="G166" s="355">
        <f>KLM!X166</f>
        <v>0</v>
      </c>
      <c r="H166" s="355">
        <f>PTA!X166</f>
        <v>0</v>
      </c>
      <c r="I166" s="355">
        <f>ALP!X166</f>
        <v>0</v>
      </c>
      <c r="J166" s="355">
        <f>KTM!X166</f>
        <v>0</v>
      </c>
      <c r="K166" s="355">
        <f>IDK!X166</f>
        <v>0</v>
      </c>
      <c r="L166" s="355">
        <f>EKM!X166</f>
        <v>0</v>
      </c>
      <c r="M166" s="355">
        <f>TSR!X166</f>
        <v>0</v>
      </c>
      <c r="N166" s="355">
        <f>PLKD!X166</f>
        <v>0</v>
      </c>
      <c r="O166" s="355">
        <f>MLPM!X166</f>
        <v>0</v>
      </c>
      <c r="P166" s="355">
        <f>KKD!X166</f>
        <v>0</v>
      </c>
      <c r="Q166" s="355">
        <f>WYND!X166</f>
        <v>0</v>
      </c>
      <c r="R166" s="355">
        <f>KNR!X166</f>
        <v>0</v>
      </c>
      <c r="S166" s="355">
        <f>KSRGD!X166</f>
        <v>0</v>
      </c>
      <c r="T166" s="355">
        <f>SHS!X166</f>
        <v>0</v>
      </c>
      <c r="U166" s="22">
        <f t="shared" si="2"/>
        <v>0</v>
      </c>
    </row>
    <row r="167" spans="1:21" ht="47.25">
      <c r="A167" s="498"/>
      <c r="B167" s="496"/>
      <c r="C167" s="496"/>
      <c r="D167" s="43">
        <v>158</v>
      </c>
      <c r="E167" s="43" t="s">
        <v>263</v>
      </c>
      <c r="F167" s="355">
        <f>TVM!X167</f>
        <v>0</v>
      </c>
      <c r="G167" s="355">
        <f>KLM!X167</f>
        <v>0</v>
      </c>
      <c r="H167" s="355">
        <f>PTA!X167</f>
        <v>0</v>
      </c>
      <c r="I167" s="355">
        <f>ALP!X167</f>
        <v>0</v>
      </c>
      <c r="J167" s="355">
        <f>KTM!X167</f>
        <v>0</v>
      </c>
      <c r="K167" s="355">
        <f>IDK!X167</f>
        <v>0</v>
      </c>
      <c r="L167" s="355">
        <f>EKM!X167</f>
        <v>0</v>
      </c>
      <c r="M167" s="355">
        <f>TSR!X167</f>
        <v>0</v>
      </c>
      <c r="N167" s="355">
        <f>PLKD!X167</f>
        <v>0</v>
      </c>
      <c r="O167" s="355">
        <f>MLPM!X167</f>
        <v>0</v>
      </c>
      <c r="P167" s="355">
        <f>KKD!X167</f>
        <v>0</v>
      </c>
      <c r="Q167" s="355">
        <f>WYND!X167</f>
        <v>1.2</v>
      </c>
      <c r="R167" s="355">
        <f>KNR!X167</f>
        <v>0</v>
      </c>
      <c r="S167" s="355">
        <f>KSRGD!X167</f>
        <v>0</v>
      </c>
      <c r="T167" s="355">
        <f>SHS!X167</f>
        <v>0</v>
      </c>
      <c r="U167" s="22">
        <f t="shared" si="2"/>
        <v>1.2</v>
      </c>
    </row>
    <row r="168" spans="1:21" ht="63">
      <c r="A168" s="498"/>
      <c r="B168" s="497" t="s">
        <v>264</v>
      </c>
      <c r="C168" s="497" t="s">
        <v>216</v>
      </c>
      <c r="D168" s="43">
        <v>159</v>
      </c>
      <c r="E168" s="43" t="s">
        <v>217</v>
      </c>
      <c r="F168" s="355">
        <f>TVM!X168</f>
        <v>62.472000000000001</v>
      </c>
      <c r="G168" s="355">
        <f>KLM!X168</f>
        <v>47.664000000000001</v>
      </c>
      <c r="H168" s="355">
        <f>PTA!X168</f>
        <v>26.076000000000001</v>
      </c>
      <c r="I168" s="355">
        <f>ALP!X168</f>
        <v>48.18</v>
      </c>
      <c r="J168" s="355">
        <f>KTM!X168</f>
        <v>38.328000000000003</v>
      </c>
      <c r="K168" s="355">
        <f>IDK!X168</f>
        <v>25.728000000000002</v>
      </c>
      <c r="L168" s="355">
        <f>EKM!X168</f>
        <v>58.32</v>
      </c>
      <c r="M168" s="355">
        <f>TSR!X168</f>
        <v>57.564</v>
      </c>
      <c r="N168" s="355">
        <f>PLKD!X168</f>
        <v>56.988</v>
      </c>
      <c r="O168" s="355">
        <f>MLPM!X168</f>
        <v>77.52</v>
      </c>
      <c r="P168" s="355">
        <f>KKD!X168</f>
        <v>50.28</v>
      </c>
      <c r="Q168" s="355">
        <f>WYND!X168</f>
        <v>22.728000000000002</v>
      </c>
      <c r="R168" s="355">
        <f>KNR!X168</f>
        <v>47.783999999999999</v>
      </c>
      <c r="S168" s="355">
        <f>KSRGD!X168</f>
        <v>22.788</v>
      </c>
      <c r="T168" s="355">
        <f>SHS!X168</f>
        <v>580.31999999999994</v>
      </c>
      <c r="U168" s="22">
        <f t="shared" si="2"/>
        <v>1222.7399999999998</v>
      </c>
    </row>
    <row r="169" spans="1:21">
      <c r="A169" s="498"/>
      <c r="B169" s="498"/>
      <c r="C169" s="498"/>
      <c r="D169" s="43">
        <v>160</v>
      </c>
      <c r="E169" s="43" t="s">
        <v>265</v>
      </c>
      <c r="F169" s="355">
        <f>TVM!X169</f>
        <v>0</v>
      </c>
      <c r="G169" s="355">
        <f>KLM!X169</f>
        <v>0</v>
      </c>
      <c r="H169" s="355">
        <f>PTA!X169</f>
        <v>0</v>
      </c>
      <c r="I169" s="355">
        <f>ALP!X169</f>
        <v>0</v>
      </c>
      <c r="J169" s="355">
        <f>KTM!X169</f>
        <v>0</v>
      </c>
      <c r="K169" s="355">
        <f>IDK!X169</f>
        <v>0</v>
      </c>
      <c r="L169" s="355">
        <f>EKM!X169</f>
        <v>0</v>
      </c>
      <c r="M169" s="355">
        <f>TSR!X169</f>
        <v>0</v>
      </c>
      <c r="N169" s="355">
        <f>PLKD!X169</f>
        <v>0</v>
      </c>
      <c r="O169" s="355">
        <f>MLPM!X169</f>
        <v>0</v>
      </c>
      <c r="P169" s="355">
        <f>KKD!X169</f>
        <v>0</v>
      </c>
      <c r="Q169" s="355">
        <f>WYND!X169</f>
        <v>0</v>
      </c>
      <c r="R169" s="355">
        <f>KNR!X169</f>
        <v>0</v>
      </c>
      <c r="S169" s="355">
        <f>KSRGD!X169</f>
        <v>0</v>
      </c>
      <c r="T169" s="355">
        <f>SHS!X169</f>
        <v>0</v>
      </c>
      <c r="U169" s="22">
        <f t="shared" si="2"/>
        <v>0</v>
      </c>
    </row>
    <row r="170" spans="1:21">
      <c r="A170" s="498"/>
      <c r="B170" s="498"/>
      <c r="C170" s="498"/>
      <c r="D170" s="43">
        <v>161</v>
      </c>
      <c r="E170" s="43" t="s">
        <v>219</v>
      </c>
      <c r="F170" s="355">
        <f>TVM!X170</f>
        <v>0</v>
      </c>
      <c r="G170" s="355">
        <f>KLM!X170</f>
        <v>0</v>
      </c>
      <c r="H170" s="355">
        <f>PTA!X170</f>
        <v>0</v>
      </c>
      <c r="I170" s="355">
        <f>ALP!X170</f>
        <v>0</v>
      </c>
      <c r="J170" s="355">
        <f>KTM!X170</f>
        <v>0</v>
      </c>
      <c r="K170" s="355">
        <f>IDK!X170</f>
        <v>0</v>
      </c>
      <c r="L170" s="355">
        <f>EKM!X170</f>
        <v>0</v>
      </c>
      <c r="M170" s="355">
        <f>TSR!X170</f>
        <v>0</v>
      </c>
      <c r="N170" s="355">
        <f>PLKD!X170</f>
        <v>0</v>
      </c>
      <c r="O170" s="355">
        <f>MLPM!X170</f>
        <v>0</v>
      </c>
      <c r="P170" s="355">
        <f>KKD!X170</f>
        <v>0</v>
      </c>
      <c r="Q170" s="355">
        <f>WYND!X170</f>
        <v>0</v>
      </c>
      <c r="R170" s="355">
        <f>KNR!X170</f>
        <v>0</v>
      </c>
      <c r="S170" s="355">
        <f>KSRGD!X170</f>
        <v>0</v>
      </c>
      <c r="T170" s="355">
        <f>SHS!X170</f>
        <v>0</v>
      </c>
      <c r="U170" s="22">
        <f t="shared" si="2"/>
        <v>0</v>
      </c>
    </row>
    <row r="171" spans="1:21">
      <c r="A171" s="498"/>
      <c r="B171" s="498"/>
      <c r="C171" s="498"/>
      <c r="D171" s="43">
        <v>162</v>
      </c>
      <c r="E171" s="43" t="s">
        <v>220</v>
      </c>
      <c r="F171" s="355">
        <f>TVM!X171</f>
        <v>0</v>
      </c>
      <c r="G171" s="355">
        <f>KLM!X171</f>
        <v>0</v>
      </c>
      <c r="H171" s="355">
        <f>PTA!X171</f>
        <v>0</v>
      </c>
      <c r="I171" s="355">
        <f>ALP!X171</f>
        <v>0</v>
      </c>
      <c r="J171" s="355">
        <f>KTM!X171</f>
        <v>0</v>
      </c>
      <c r="K171" s="355">
        <f>IDK!X171</f>
        <v>0</v>
      </c>
      <c r="L171" s="355">
        <f>EKM!X171</f>
        <v>0</v>
      </c>
      <c r="M171" s="355">
        <f>TSR!X171</f>
        <v>0</v>
      </c>
      <c r="N171" s="355">
        <f>PLKD!X171</f>
        <v>0</v>
      </c>
      <c r="O171" s="355">
        <f>MLPM!X171</f>
        <v>0</v>
      </c>
      <c r="P171" s="355">
        <f>KKD!X171</f>
        <v>0</v>
      </c>
      <c r="Q171" s="355">
        <f>WYND!X171</f>
        <v>0</v>
      </c>
      <c r="R171" s="355">
        <f>KNR!X171</f>
        <v>0</v>
      </c>
      <c r="S171" s="355">
        <f>KSRGD!X171</f>
        <v>0</v>
      </c>
      <c r="T171" s="355">
        <f>SHS!X171</f>
        <v>0</v>
      </c>
      <c r="U171" s="22">
        <f t="shared" si="2"/>
        <v>0</v>
      </c>
    </row>
    <row r="172" spans="1:21" ht="47.25">
      <c r="A172" s="498"/>
      <c r="B172" s="496"/>
      <c r="C172" s="496"/>
      <c r="D172" s="43">
        <v>163</v>
      </c>
      <c r="E172" s="43" t="s">
        <v>266</v>
      </c>
      <c r="F172" s="355">
        <f>TVM!X172</f>
        <v>0</v>
      </c>
      <c r="G172" s="355">
        <f>KLM!X172</f>
        <v>0</v>
      </c>
      <c r="H172" s="355">
        <f>PTA!X172</f>
        <v>0</v>
      </c>
      <c r="I172" s="355">
        <f>ALP!X172</f>
        <v>0</v>
      </c>
      <c r="J172" s="355">
        <f>KTM!X172</f>
        <v>0</v>
      </c>
      <c r="K172" s="355">
        <f>IDK!X172</f>
        <v>0</v>
      </c>
      <c r="L172" s="355">
        <f>EKM!X172</f>
        <v>0</v>
      </c>
      <c r="M172" s="355">
        <f>TSR!X172</f>
        <v>0</v>
      </c>
      <c r="N172" s="355">
        <f>PLKD!X172</f>
        <v>0</v>
      </c>
      <c r="O172" s="355">
        <f>MLPM!X172</f>
        <v>0</v>
      </c>
      <c r="P172" s="355">
        <f>KKD!X172</f>
        <v>0</v>
      </c>
      <c r="Q172" s="355">
        <f>WYND!X172</f>
        <v>0</v>
      </c>
      <c r="R172" s="355">
        <f>KNR!X172</f>
        <v>0</v>
      </c>
      <c r="S172" s="355">
        <f>KSRGD!X172</f>
        <v>0</v>
      </c>
      <c r="T172" s="355">
        <f>SHS!X172</f>
        <v>198.26</v>
      </c>
      <c r="U172" s="22">
        <f t="shared" si="2"/>
        <v>198.26</v>
      </c>
    </row>
    <row r="173" spans="1:21">
      <c r="A173" s="498"/>
      <c r="B173" s="497" t="s">
        <v>267</v>
      </c>
      <c r="C173" s="497" t="s">
        <v>268</v>
      </c>
      <c r="D173" s="43">
        <v>164</v>
      </c>
      <c r="E173" s="43" t="s">
        <v>269</v>
      </c>
      <c r="F173" s="355">
        <f>TVM!X173</f>
        <v>0</v>
      </c>
      <c r="G173" s="355">
        <f>KLM!X173</f>
        <v>0</v>
      </c>
      <c r="H173" s="355">
        <f>PTA!X173</f>
        <v>0</v>
      </c>
      <c r="I173" s="355">
        <f>ALP!X173</f>
        <v>0</v>
      </c>
      <c r="J173" s="355">
        <f>KTM!X173</f>
        <v>0</v>
      </c>
      <c r="K173" s="355">
        <f>IDK!X173</f>
        <v>0</v>
      </c>
      <c r="L173" s="355">
        <f>EKM!X173</f>
        <v>0</v>
      </c>
      <c r="M173" s="355">
        <f>TSR!X173</f>
        <v>0</v>
      </c>
      <c r="N173" s="355">
        <f>PLKD!X173</f>
        <v>0</v>
      </c>
      <c r="O173" s="355">
        <f>MLPM!X173</f>
        <v>0</v>
      </c>
      <c r="P173" s="355">
        <f>KKD!X173</f>
        <v>0</v>
      </c>
      <c r="Q173" s="355">
        <f>WYND!X173</f>
        <v>0</v>
      </c>
      <c r="R173" s="355">
        <f>KNR!X173</f>
        <v>0</v>
      </c>
      <c r="S173" s="355">
        <f>KSRGD!X173</f>
        <v>0</v>
      </c>
      <c r="T173" s="355">
        <f>SHS!X173</f>
        <v>939</v>
      </c>
      <c r="U173" s="22">
        <f t="shared" si="2"/>
        <v>939</v>
      </c>
    </row>
    <row r="174" spans="1:21">
      <c r="A174" s="498"/>
      <c r="B174" s="498"/>
      <c r="C174" s="498"/>
      <c r="D174" s="43">
        <v>165</v>
      </c>
      <c r="E174" s="43" t="s">
        <v>270</v>
      </c>
      <c r="F174" s="355">
        <f>TVM!X174</f>
        <v>0</v>
      </c>
      <c r="G174" s="355">
        <f>KLM!X174</f>
        <v>0</v>
      </c>
      <c r="H174" s="355">
        <f>PTA!X174</f>
        <v>0</v>
      </c>
      <c r="I174" s="355">
        <f>ALP!X174</f>
        <v>0</v>
      </c>
      <c r="J174" s="355">
        <f>KTM!X174</f>
        <v>0</v>
      </c>
      <c r="K174" s="355">
        <f>IDK!X174</f>
        <v>0</v>
      </c>
      <c r="L174" s="355">
        <f>EKM!X174</f>
        <v>0</v>
      </c>
      <c r="M174" s="355">
        <f>TSR!X174</f>
        <v>0</v>
      </c>
      <c r="N174" s="355">
        <f>PLKD!X174</f>
        <v>0</v>
      </c>
      <c r="O174" s="355">
        <f>MLPM!X174</f>
        <v>0</v>
      </c>
      <c r="P174" s="355">
        <f>KKD!X174</f>
        <v>0</v>
      </c>
      <c r="Q174" s="355">
        <f>WYND!X174</f>
        <v>0</v>
      </c>
      <c r="R174" s="355">
        <f>KNR!X174</f>
        <v>0</v>
      </c>
      <c r="S174" s="355">
        <f>KSRGD!X174</f>
        <v>0</v>
      </c>
      <c r="T174" s="355">
        <f>SHS!X174</f>
        <v>494</v>
      </c>
      <c r="U174" s="22">
        <f t="shared" si="2"/>
        <v>494</v>
      </c>
    </row>
    <row r="175" spans="1:21" ht="31.5">
      <c r="A175" s="498"/>
      <c r="B175" s="498"/>
      <c r="C175" s="498"/>
      <c r="D175" s="43">
        <v>166</v>
      </c>
      <c r="E175" s="43" t="s">
        <v>271</v>
      </c>
      <c r="F175" s="355">
        <f>TVM!X175</f>
        <v>0</v>
      </c>
      <c r="G175" s="355">
        <f>KLM!X175</f>
        <v>0</v>
      </c>
      <c r="H175" s="355">
        <f>PTA!X175</f>
        <v>0</v>
      </c>
      <c r="I175" s="355">
        <f>ALP!X175</f>
        <v>0</v>
      </c>
      <c r="J175" s="355">
        <f>KTM!X175</f>
        <v>0</v>
      </c>
      <c r="K175" s="355">
        <f>IDK!X175</f>
        <v>0</v>
      </c>
      <c r="L175" s="355">
        <f>EKM!X175</f>
        <v>0</v>
      </c>
      <c r="M175" s="355">
        <f>TSR!X175</f>
        <v>0</v>
      </c>
      <c r="N175" s="355">
        <f>PLKD!X175</f>
        <v>0</v>
      </c>
      <c r="O175" s="355">
        <f>MLPM!X175</f>
        <v>0</v>
      </c>
      <c r="P175" s="355">
        <f>KKD!X175</f>
        <v>0</v>
      </c>
      <c r="Q175" s="355">
        <f>WYND!X175</f>
        <v>0</v>
      </c>
      <c r="R175" s="355">
        <f>KNR!X175</f>
        <v>0</v>
      </c>
      <c r="S175" s="355">
        <f>KSRGD!X175</f>
        <v>0</v>
      </c>
      <c r="T175" s="355">
        <f>SHS!X175</f>
        <v>360</v>
      </c>
      <c r="U175" s="22">
        <f t="shared" si="2"/>
        <v>360</v>
      </c>
    </row>
    <row r="176" spans="1:21" ht="31.5">
      <c r="A176" s="498"/>
      <c r="B176" s="498"/>
      <c r="C176" s="498"/>
      <c r="D176" s="43">
        <v>167</v>
      </c>
      <c r="E176" s="43" t="s">
        <v>272</v>
      </c>
      <c r="F176" s="355">
        <f>TVM!X176</f>
        <v>0</v>
      </c>
      <c r="G176" s="355">
        <f>KLM!X176</f>
        <v>0</v>
      </c>
      <c r="H176" s="355">
        <f>PTA!X176</f>
        <v>0</v>
      </c>
      <c r="I176" s="355">
        <f>ALP!X176</f>
        <v>0</v>
      </c>
      <c r="J176" s="355">
        <f>KTM!X176</f>
        <v>0</v>
      </c>
      <c r="K176" s="355">
        <f>IDK!X176</f>
        <v>0</v>
      </c>
      <c r="L176" s="355">
        <f>EKM!X176</f>
        <v>0</v>
      </c>
      <c r="M176" s="355">
        <f>TSR!X176</f>
        <v>0</v>
      </c>
      <c r="N176" s="355">
        <f>PLKD!X176</f>
        <v>0</v>
      </c>
      <c r="O176" s="355">
        <f>MLPM!X176</f>
        <v>0</v>
      </c>
      <c r="P176" s="355">
        <f>KKD!X176</f>
        <v>0</v>
      </c>
      <c r="Q176" s="355">
        <f>WYND!X176</f>
        <v>0</v>
      </c>
      <c r="R176" s="355">
        <f>KNR!X176</f>
        <v>0</v>
      </c>
      <c r="S176" s="355">
        <f>KSRGD!X176</f>
        <v>0</v>
      </c>
      <c r="T176" s="355">
        <f>SHS!X176</f>
        <v>1505</v>
      </c>
      <c r="U176" s="22">
        <f t="shared" si="2"/>
        <v>1505</v>
      </c>
    </row>
    <row r="177" spans="1:21">
      <c r="A177" s="498"/>
      <c r="B177" s="498"/>
      <c r="C177" s="498"/>
      <c r="D177" s="43">
        <v>168</v>
      </c>
      <c r="E177" s="43" t="s">
        <v>273</v>
      </c>
      <c r="F177" s="355">
        <f>TVM!X177</f>
        <v>0</v>
      </c>
      <c r="G177" s="355">
        <f>KLM!X177</f>
        <v>0</v>
      </c>
      <c r="H177" s="355">
        <f>PTA!X177</f>
        <v>0</v>
      </c>
      <c r="I177" s="355">
        <f>ALP!X177</f>
        <v>0</v>
      </c>
      <c r="J177" s="355">
        <f>KTM!X177</f>
        <v>0</v>
      </c>
      <c r="K177" s="355">
        <f>IDK!X177</f>
        <v>0</v>
      </c>
      <c r="L177" s="355">
        <f>EKM!X177</f>
        <v>0</v>
      </c>
      <c r="M177" s="355">
        <f>TSR!X177</f>
        <v>0</v>
      </c>
      <c r="N177" s="355">
        <f>PLKD!X177</f>
        <v>0</v>
      </c>
      <c r="O177" s="355">
        <f>MLPM!X177</f>
        <v>0</v>
      </c>
      <c r="P177" s="355">
        <f>KKD!X177</f>
        <v>0</v>
      </c>
      <c r="Q177" s="355">
        <f>WYND!X177</f>
        <v>0</v>
      </c>
      <c r="R177" s="355">
        <f>KNR!X177</f>
        <v>0</v>
      </c>
      <c r="S177" s="355">
        <f>KSRGD!X177</f>
        <v>0</v>
      </c>
      <c r="T177" s="355">
        <f>SHS!X177</f>
        <v>369</v>
      </c>
      <c r="U177" s="22">
        <f t="shared" si="2"/>
        <v>369</v>
      </c>
    </row>
    <row r="178" spans="1:21" ht="47.25">
      <c r="A178" s="498"/>
      <c r="B178" s="498"/>
      <c r="C178" s="498"/>
      <c r="D178" s="43">
        <v>169</v>
      </c>
      <c r="E178" s="43" t="s">
        <v>274</v>
      </c>
      <c r="F178" s="355">
        <f>TVM!X178</f>
        <v>0</v>
      </c>
      <c r="G178" s="355">
        <f>KLM!X178</f>
        <v>0</v>
      </c>
      <c r="H178" s="355">
        <f>PTA!X178</f>
        <v>0</v>
      </c>
      <c r="I178" s="355">
        <f>ALP!X178</f>
        <v>0</v>
      </c>
      <c r="J178" s="355">
        <f>KTM!X178</f>
        <v>0</v>
      </c>
      <c r="K178" s="355">
        <f>IDK!X178</f>
        <v>0</v>
      </c>
      <c r="L178" s="355">
        <f>EKM!X178</f>
        <v>0</v>
      </c>
      <c r="M178" s="355">
        <f>TSR!X178</f>
        <v>0</v>
      </c>
      <c r="N178" s="355">
        <f>PLKD!X178</f>
        <v>0</v>
      </c>
      <c r="O178" s="355">
        <f>MLPM!X178</f>
        <v>0</v>
      </c>
      <c r="P178" s="355">
        <f>KKD!X178</f>
        <v>0</v>
      </c>
      <c r="Q178" s="355">
        <f>WYND!X178</f>
        <v>0</v>
      </c>
      <c r="R178" s="355">
        <f>KNR!X178</f>
        <v>0</v>
      </c>
      <c r="S178" s="355">
        <f>KSRGD!X178</f>
        <v>0</v>
      </c>
      <c r="T178" s="355">
        <f>SHS!X178</f>
        <v>1136.9090999999999</v>
      </c>
      <c r="U178" s="22">
        <f t="shared" si="2"/>
        <v>1136.9090999999999</v>
      </c>
    </row>
    <row r="179" spans="1:21" ht="78.75">
      <c r="A179" s="498"/>
      <c r="B179" s="496"/>
      <c r="C179" s="496"/>
      <c r="D179" s="43">
        <v>170</v>
      </c>
      <c r="E179" s="43" t="s">
        <v>275</v>
      </c>
      <c r="F179" s="355">
        <f>TVM!X179</f>
        <v>0</v>
      </c>
      <c r="G179" s="355">
        <f>KLM!X179</f>
        <v>0</v>
      </c>
      <c r="H179" s="355">
        <f>PTA!X179</f>
        <v>0</v>
      </c>
      <c r="I179" s="355">
        <f>ALP!X179</f>
        <v>0</v>
      </c>
      <c r="J179" s="355">
        <f>KTM!X179</f>
        <v>0</v>
      </c>
      <c r="K179" s="355">
        <f>IDK!X179</f>
        <v>0</v>
      </c>
      <c r="L179" s="355">
        <f>EKM!X179</f>
        <v>0</v>
      </c>
      <c r="M179" s="355">
        <f>TSR!X179</f>
        <v>0</v>
      </c>
      <c r="N179" s="355">
        <f>PLKD!X179</f>
        <v>0</v>
      </c>
      <c r="O179" s="355">
        <f>MLPM!X179</f>
        <v>0</v>
      </c>
      <c r="P179" s="355">
        <f>KKD!X179</f>
        <v>0</v>
      </c>
      <c r="Q179" s="355">
        <f>WYND!X179</f>
        <v>0</v>
      </c>
      <c r="R179" s="355">
        <f>KNR!X179</f>
        <v>0</v>
      </c>
      <c r="S179" s="355">
        <f>KSRGD!X179</f>
        <v>0</v>
      </c>
      <c r="T179" s="355">
        <f>SHS!X179</f>
        <v>548</v>
      </c>
      <c r="U179" s="22">
        <f t="shared" si="2"/>
        <v>548</v>
      </c>
    </row>
    <row r="180" spans="1:21" ht="31.5">
      <c r="A180" s="498"/>
      <c r="B180" s="497" t="s">
        <v>276</v>
      </c>
      <c r="C180" s="497" t="s">
        <v>277</v>
      </c>
      <c r="D180" s="43">
        <v>171</v>
      </c>
      <c r="E180" s="43" t="s">
        <v>278</v>
      </c>
      <c r="F180" s="355">
        <f>TVM!X180</f>
        <v>0</v>
      </c>
      <c r="G180" s="355">
        <f>KLM!X180</f>
        <v>0</v>
      </c>
      <c r="H180" s="355">
        <f>PTA!X180</f>
        <v>0</v>
      </c>
      <c r="I180" s="355">
        <f>ALP!X180</f>
        <v>0</v>
      </c>
      <c r="J180" s="355">
        <f>KTM!X180</f>
        <v>0</v>
      </c>
      <c r="K180" s="355">
        <f>IDK!X180</f>
        <v>0</v>
      </c>
      <c r="L180" s="355">
        <f>EKM!X180</f>
        <v>0</v>
      </c>
      <c r="M180" s="355">
        <f>TSR!X180</f>
        <v>0</v>
      </c>
      <c r="N180" s="355">
        <f>PLKD!X180</f>
        <v>0</v>
      </c>
      <c r="O180" s="355">
        <f>MLPM!X180</f>
        <v>0</v>
      </c>
      <c r="P180" s="355">
        <f>KKD!X180</f>
        <v>0</v>
      </c>
      <c r="Q180" s="355">
        <f>WYND!X180</f>
        <v>0</v>
      </c>
      <c r="R180" s="355">
        <f>KNR!X180</f>
        <v>0</v>
      </c>
      <c r="S180" s="355">
        <f>KSRGD!X180</f>
        <v>0</v>
      </c>
      <c r="T180" s="355">
        <f>SHS!X180</f>
        <v>0</v>
      </c>
      <c r="U180" s="22">
        <f t="shared" si="2"/>
        <v>0</v>
      </c>
    </row>
    <row r="181" spans="1:21" ht="31.5">
      <c r="A181" s="498"/>
      <c r="B181" s="498"/>
      <c r="C181" s="498"/>
      <c r="D181" s="43">
        <v>172</v>
      </c>
      <c r="E181" s="43" t="s">
        <v>279</v>
      </c>
      <c r="F181" s="355">
        <f>TVM!X181</f>
        <v>0</v>
      </c>
      <c r="G181" s="355">
        <f>KLM!X181</f>
        <v>0</v>
      </c>
      <c r="H181" s="355">
        <f>PTA!X181</f>
        <v>0</v>
      </c>
      <c r="I181" s="355">
        <f>ALP!X181</f>
        <v>0</v>
      </c>
      <c r="J181" s="355">
        <f>KTM!X181</f>
        <v>0</v>
      </c>
      <c r="K181" s="355">
        <f>IDK!X181</f>
        <v>0</v>
      </c>
      <c r="L181" s="355">
        <f>EKM!X181</f>
        <v>0</v>
      </c>
      <c r="M181" s="355">
        <f>TSR!X181</f>
        <v>0</v>
      </c>
      <c r="N181" s="355">
        <f>PLKD!X181</f>
        <v>0</v>
      </c>
      <c r="O181" s="355">
        <f>MLPM!X181</f>
        <v>0</v>
      </c>
      <c r="P181" s="355">
        <f>KKD!X181</f>
        <v>0</v>
      </c>
      <c r="Q181" s="355">
        <f>WYND!X181</f>
        <v>0</v>
      </c>
      <c r="R181" s="355">
        <f>KNR!X181</f>
        <v>0</v>
      </c>
      <c r="S181" s="355">
        <f>KSRGD!X181</f>
        <v>0</v>
      </c>
      <c r="T181" s="355">
        <f>SHS!X181</f>
        <v>7193.2664000000004</v>
      </c>
      <c r="U181" s="22">
        <f t="shared" si="2"/>
        <v>7193.2664000000004</v>
      </c>
    </row>
    <row r="182" spans="1:21" ht="31.5">
      <c r="A182" s="498"/>
      <c r="B182" s="498"/>
      <c r="C182" s="498"/>
      <c r="D182" s="43">
        <v>173</v>
      </c>
      <c r="E182" s="43" t="s">
        <v>280</v>
      </c>
      <c r="F182" s="355">
        <f>TVM!X182</f>
        <v>0</v>
      </c>
      <c r="G182" s="355">
        <f>KLM!X182</f>
        <v>0</v>
      </c>
      <c r="H182" s="355">
        <f>PTA!X182</f>
        <v>0</v>
      </c>
      <c r="I182" s="355">
        <f>ALP!X182</f>
        <v>0</v>
      </c>
      <c r="J182" s="355">
        <f>KTM!X182</f>
        <v>0</v>
      </c>
      <c r="K182" s="355">
        <f>IDK!X182</f>
        <v>0</v>
      </c>
      <c r="L182" s="355">
        <f>EKM!X182</f>
        <v>0</v>
      </c>
      <c r="M182" s="355">
        <f>TSR!X182</f>
        <v>0</v>
      </c>
      <c r="N182" s="355">
        <f>PLKD!X182</f>
        <v>0</v>
      </c>
      <c r="O182" s="355">
        <f>MLPM!X182</f>
        <v>0</v>
      </c>
      <c r="P182" s="355">
        <f>KKD!X182</f>
        <v>0</v>
      </c>
      <c r="Q182" s="355">
        <f>WYND!X182</f>
        <v>0</v>
      </c>
      <c r="R182" s="355">
        <f>KNR!X182</f>
        <v>0</v>
      </c>
      <c r="S182" s="355">
        <f>KSRGD!X182</f>
        <v>0</v>
      </c>
      <c r="T182" s="355">
        <f>SHS!X182</f>
        <v>0</v>
      </c>
      <c r="U182" s="22">
        <f t="shared" si="2"/>
        <v>0</v>
      </c>
    </row>
    <row r="183" spans="1:21">
      <c r="A183" s="498"/>
      <c r="B183" s="496"/>
      <c r="C183" s="496"/>
      <c r="D183" s="43">
        <v>174</v>
      </c>
      <c r="E183" s="43" t="s">
        <v>281</v>
      </c>
      <c r="F183" s="355">
        <f>TVM!X183</f>
        <v>0</v>
      </c>
      <c r="G183" s="355">
        <f>KLM!X183</f>
        <v>0</v>
      </c>
      <c r="H183" s="355">
        <f>PTA!X183</f>
        <v>0</v>
      </c>
      <c r="I183" s="355">
        <f>ALP!X183</f>
        <v>0</v>
      </c>
      <c r="J183" s="355">
        <f>KTM!X183</f>
        <v>0</v>
      </c>
      <c r="K183" s="355">
        <f>IDK!X183</f>
        <v>0</v>
      </c>
      <c r="L183" s="355">
        <f>EKM!X183</f>
        <v>0</v>
      </c>
      <c r="M183" s="355">
        <f>TSR!X183</f>
        <v>0</v>
      </c>
      <c r="N183" s="355">
        <f>PLKD!X183</f>
        <v>0</v>
      </c>
      <c r="O183" s="355">
        <f>MLPM!X183</f>
        <v>0</v>
      </c>
      <c r="P183" s="355">
        <f>KKD!X183</f>
        <v>0</v>
      </c>
      <c r="Q183" s="355">
        <f>WYND!X183</f>
        <v>0</v>
      </c>
      <c r="R183" s="355">
        <f>KNR!X183</f>
        <v>0</v>
      </c>
      <c r="S183" s="355">
        <f>KSRGD!X183</f>
        <v>0</v>
      </c>
      <c r="T183" s="355">
        <f>SHS!X183</f>
        <v>0</v>
      </c>
      <c r="U183" s="22">
        <f t="shared" si="2"/>
        <v>0</v>
      </c>
    </row>
    <row r="184" spans="1:21" ht="47.25">
      <c r="A184" s="498"/>
      <c r="B184" s="497" t="s">
        <v>282</v>
      </c>
      <c r="C184" s="497" t="s">
        <v>230</v>
      </c>
      <c r="D184" s="43">
        <v>175</v>
      </c>
      <c r="E184" s="43" t="s">
        <v>231</v>
      </c>
      <c r="F184" s="355">
        <f>TVM!X184</f>
        <v>64.53</v>
      </c>
      <c r="G184" s="355">
        <f>KLM!X184</f>
        <v>54.86</v>
      </c>
      <c r="H184" s="355">
        <f>PTA!X184</f>
        <v>38.479999999999997</v>
      </c>
      <c r="I184" s="355">
        <f>ALP!X184</f>
        <v>51.24</v>
      </c>
      <c r="J184" s="355">
        <f>KTM!X184</f>
        <v>46.45</v>
      </c>
      <c r="K184" s="355">
        <f>IDK!X184</f>
        <v>40.82</v>
      </c>
      <c r="L184" s="355">
        <f>EKM!X184</f>
        <v>58.63</v>
      </c>
      <c r="M184" s="355">
        <f>TSR!X184</f>
        <v>63.88</v>
      </c>
      <c r="N184" s="355">
        <f>PLKD!X184</f>
        <v>67.12</v>
      </c>
      <c r="O184" s="355">
        <f>MLPM!X184</f>
        <v>75.36</v>
      </c>
      <c r="P184" s="355">
        <f>KKD!X184</f>
        <v>54.42</v>
      </c>
      <c r="Q184" s="355">
        <f>WYND!X184</f>
        <v>27.71</v>
      </c>
      <c r="R184" s="355">
        <f>KNR!X184</f>
        <v>60.26</v>
      </c>
      <c r="S184" s="355">
        <f>KSRGD!X184</f>
        <v>35.590000000000003</v>
      </c>
      <c r="T184" s="355">
        <f>SHS!X184</f>
        <v>1464.43</v>
      </c>
      <c r="U184" s="22">
        <f t="shared" si="2"/>
        <v>2203.7800000000002</v>
      </c>
    </row>
    <row r="185" spans="1:21">
      <c r="A185" s="498"/>
      <c r="B185" s="498"/>
      <c r="C185" s="498"/>
      <c r="D185" s="43">
        <v>176</v>
      </c>
      <c r="E185" s="43" t="s">
        <v>232</v>
      </c>
      <c r="F185" s="355">
        <f>TVM!X185</f>
        <v>35.018000000000001</v>
      </c>
      <c r="G185" s="355">
        <f>KLM!X185</f>
        <v>29.094000000000001</v>
      </c>
      <c r="H185" s="355">
        <f>PTA!X185</f>
        <v>19.234000000000002</v>
      </c>
      <c r="I185" s="355">
        <f>ALP!X185</f>
        <v>27.004000000000001</v>
      </c>
      <c r="J185" s="355">
        <f>KTM!X185</f>
        <v>20.92</v>
      </c>
      <c r="K185" s="355">
        <f>IDK!X185</f>
        <v>17.23</v>
      </c>
      <c r="L185" s="355">
        <f>EKM!X185</f>
        <v>39.06</v>
      </c>
      <c r="M185" s="355">
        <f>TSR!X185</f>
        <v>26.61</v>
      </c>
      <c r="N185" s="355">
        <f>PLKD!X185</f>
        <v>25.92</v>
      </c>
      <c r="O185" s="355">
        <f>MLPM!X185</f>
        <v>31.18</v>
      </c>
      <c r="P185" s="355">
        <f>KKD!X185</f>
        <v>24.990000000000002</v>
      </c>
      <c r="Q185" s="355">
        <f>WYND!X185</f>
        <v>11.690000000000001</v>
      </c>
      <c r="R185" s="355">
        <f>KNR!X185</f>
        <v>33.11</v>
      </c>
      <c r="S185" s="355">
        <f>KSRGD!X185</f>
        <v>20.47</v>
      </c>
      <c r="T185" s="355">
        <f>SHS!X185</f>
        <v>746.4</v>
      </c>
      <c r="U185" s="22">
        <f t="shared" si="2"/>
        <v>1107.93</v>
      </c>
    </row>
    <row r="186" spans="1:21" ht="31.5">
      <c r="A186" s="498"/>
      <c r="B186" s="496"/>
      <c r="C186" s="496"/>
      <c r="D186" s="43">
        <v>177</v>
      </c>
      <c r="E186" s="43" t="s">
        <v>233</v>
      </c>
      <c r="F186" s="355">
        <f>TVM!X186</f>
        <v>0</v>
      </c>
      <c r="G186" s="355">
        <f>KLM!X186</f>
        <v>0</v>
      </c>
      <c r="H186" s="355">
        <f>PTA!X186</f>
        <v>0</v>
      </c>
      <c r="I186" s="355">
        <f>ALP!X186</f>
        <v>0</v>
      </c>
      <c r="J186" s="355">
        <f>KTM!X186</f>
        <v>0</v>
      </c>
      <c r="K186" s="355">
        <f>IDK!X186</f>
        <v>0</v>
      </c>
      <c r="L186" s="355">
        <f>EKM!X186</f>
        <v>0</v>
      </c>
      <c r="M186" s="355">
        <f>TSR!X186</f>
        <v>0</v>
      </c>
      <c r="N186" s="355">
        <f>PLKD!X186</f>
        <v>0</v>
      </c>
      <c r="O186" s="355">
        <f>MLPM!X186</f>
        <v>0</v>
      </c>
      <c r="P186" s="355">
        <f>KKD!X186</f>
        <v>0</v>
      </c>
      <c r="Q186" s="355">
        <f>WYND!X186</f>
        <v>0</v>
      </c>
      <c r="R186" s="355">
        <f>KNR!X186</f>
        <v>0</v>
      </c>
      <c r="S186" s="355">
        <f>KSRGD!X186</f>
        <v>0</v>
      </c>
      <c r="T186" s="355">
        <f>SHS!X186</f>
        <v>0</v>
      </c>
      <c r="U186" s="22">
        <f t="shared" si="2"/>
        <v>0</v>
      </c>
    </row>
    <row r="187" spans="1:21" ht="47.25">
      <c r="A187" s="498"/>
      <c r="B187" s="497" t="s">
        <v>283</v>
      </c>
      <c r="C187" s="497" t="s">
        <v>284</v>
      </c>
      <c r="D187" s="43">
        <v>178</v>
      </c>
      <c r="E187" s="43" t="s">
        <v>285</v>
      </c>
      <c r="F187" s="355">
        <f>TVM!X187</f>
        <v>140.4</v>
      </c>
      <c r="G187" s="355">
        <f>KLM!X187</f>
        <v>0</v>
      </c>
      <c r="H187" s="355">
        <f>PTA!X187</f>
        <v>0</v>
      </c>
      <c r="I187" s="355">
        <f>ALP!X187</f>
        <v>0</v>
      </c>
      <c r="J187" s="355">
        <f>KTM!X187</f>
        <v>0</v>
      </c>
      <c r="K187" s="355">
        <f>IDK!X187</f>
        <v>0</v>
      </c>
      <c r="L187" s="355">
        <f>EKM!X187</f>
        <v>0</v>
      </c>
      <c r="M187" s="355">
        <f>TSR!X187</f>
        <v>0</v>
      </c>
      <c r="N187" s="355">
        <f>PLKD!X187</f>
        <v>0</v>
      </c>
      <c r="O187" s="355">
        <f>MLPM!X187</f>
        <v>0</v>
      </c>
      <c r="P187" s="355">
        <f>KKD!X187</f>
        <v>0</v>
      </c>
      <c r="Q187" s="355">
        <f>WYND!X187</f>
        <v>0</v>
      </c>
      <c r="R187" s="355">
        <f>KNR!X187</f>
        <v>0</v>
      </c>
      <c r="S187" s="355">
        <f>KSRGD!X187</f>
        <v>0</v>
      </c>
      <c r="T187" s="355">
        <f>SHS!X187</f>
        <v>0</v>
      </c>
      <c r="U187" s="22">
        <f t="shared" si="2"/>
        <v>140.4</v>
      </c>
    </row>
    <row r="188" spans="1:21">
      <c r="A188" s="498"/>
      <c r="B188" s="498"/>
      <c r="C188" s="498"/>
      <c r="D188" s="43">
        <v>179</v>
      </c>
      <c r="E188" s="43" t="s">
        <v>125</v>
      </c>
      <c r="F188" s="355">
        <f>TVM!X188</f>
        <v>0</v>
      </c>
      <c r="G188" s="355">
        <f>KLM!X188</f>
        <v>0</v>
      </c>
      <c r="H188" s="355">
        <f>PTA!X188</f>
        <v>0</v>
      </c>
      <c r="I188" s="355">
        <f>ALP!X188</f>
        <v>0</v>
      </c>
      <c r="J188" s="355">
        <f>KTM!X188</f>
        <v>0</v>
      </c>
      <c r="K188" s="355">
        <f>IDK!X188</f>
        <v>0</v>
      </c>
      <c r="L188" s="355">
        <f>EKM!X188</f>
        <v>0</v>
      </c>
      <c r="M188" s="355">
        <f>TSR!X188</f>
        <v>0</v>
      </c>
      <c r="N188" s="355">
        <f>PLKD!X188</f>
        <v>0</v>
      </c>
      <c r="O188" s="355">
        <f>MLPM!X188</f>
        <v>0</v>
      </c>
      <c r="P188" s="355">
        <f>KKD!X188</f>
        <v>0</v>
      </c>
      <c r="Q188" s="355">
        <f>WYND!X188</f>
        <v>0</v>
      </c>
      <c r="R188" s="355">
        <f>KNR!X188</f>
        <v>0</v>
      </c>
      <c r="S188" s="355">
        <f>KSRGD!X188</f>
        <v>0</v>
      </c>
      <c r="T188" s="355">
        <f>SHS!X188</f>
        <v>0</v>
      </c>
      <c r="U188" s="22">
        <f t="shared" si="2"/>
        <v>0</v>
      </c>
    </row>
    <row r="189" spans="1:21" ht="31.5">
      <c r="A189" s="498"/>
      <c r="B189" s="498"/>
      <c r="C189" s="498"/>
      <c r="D189" s="43">
        <v>180</v>
      </c>
      <c r="E189" s="43" t="s">
        <v>286</v>
      </c>
      <c r="F189" s="355">
        <f>TVM!X189</f>
        <v>0</v>
      </c>
      <c r="G189" s="355">
        <f>KLM!X189</f>
        <v>0</v>
      </c>
      <c r="H189" s="355">
        <f>PTA!X189</f>
        <v>0</v>
      </c>
      <c r="I189" s="355">
        <f>ALP!X189</f>
        <v>0</v>
      </c>
      <c r="J189" s="355">
        <f>KTM!X189</f>
        <v>0</v>
      </c>
      <c r="K189" s="355">
        <f>IDK!X189</f>
        <v>0</v>
      </c>
      <c r="L189" s="355">
        <f>EKM!X189</f>
        <v>0</v>
      </c>
      <c r="M189" s="355">
        <f>TSR!X189</f>
        <v>0</v>
      </c>
      <c r="N189" s="355">
        <f>PLKD!X189</f>
        <v>0</v>
      </c>
      <c r="O189" s="355">
        <f>MLPM!X189</f>
        <v>0</v>
      </c>
      <c r="P189" s="355">
        <f>KKD!X189</f>
        <v>0</v>
      </c>
      <c r="Q189" s="355">
        <f>WYND!X189</f>
        <v>0</v>
      </c>
      <c r="R189" s="355">
        <f>KNR!X189</f>
        <v>0</v>
      </c>
      <c r="S189" s="355">
        <f>KSRGD!X189</f>
        <v>0</v>
      </c>
      <c r="T189" s="355">
        <f>SHS!X189</f>
        <v>6449.1554699999997</v>
      </c>
      <c r="U189" s="22">
        <f t="shared" si="2"/>
        <v>6449.1554699999997</v>
      </c>
    </row>
    <row r="190" spans="1:21" ht="31.5">
      <c r="A190" s="498"/>
      <c r="B190" s="498"/>
      <c r="C190" s="498"/>
      <c r="D190" s="43">
        <v>181</v>
      </c>
      <c r="E190" s="43" t="s">
        <v>287</v>
      </c>
      <c r="F190" s="355">
        <f>TVM!X190</f>
        <v>0</v>
      </c>
      <c r="G190" s="355">
        <f>KLM!X190</f>
        <v>0</v>
      </c>
      <c r="H190" s="355">
        <f>PTA!X190</f>
        <v>0</v>
      </c>
      <c r="I190" s="355">
        <f>ALP!X190</f>
        <v>0</v>
      </c>
      <c r="J190" s="355">
        <f>KTM!X190</f>
        <v>0</v>
      </c>
      <c r="K190" s="355">
        <f>IDK!X190</f>
        <v>0</v>
      </c>
      <c r="L190" s="355">
        <f>EKM!X190</f>
        <v>0</v>
      </c>
      <c r="M190" s="355">
        <f>TSR!X190</f>
        <v>0</v>
      </c>
      <c r="N190" s="355">
        <f>PLKD!X190</f>
        <v>0</v>
      </c>
      <c r="O190" s="355">
        <f>MLPM!X190</f>
        <v>0</v>
      </c>
      <c r="P190" s="355">
        <f>KKD!X190</f>
        <v>0</v>
      </c>
      <c r="Q190" s="355">
        <f>WYND!X190</f>
        <v>0</v>
      </c>
      <c r="R190" s="355">
        <f>KNR!X190</f>
        <v>0</v>
      </c>
      <c r="S190" s="355">
        <f>KSRGD!X190</f>
        <v>0</v>
      </c>
      <c r="T190" s="355">
        <f>SHS!X190</f>
        <v>363.03141999999997</v>
      </c>
      <c r="U190" s="22">
        <f t="shared" si="2"/>
        <v>363.03141999999997</v>
      </c>
    </row>
    <row r="191" spans="1:21">
      <c r="A191" s="498"/>
      <c r="B191" s="498"/>
      <c r="C191" s="498"/>
      <c r="D191" s="43">
        <v>182</v>
      </c>
      <c r="E191" s="43" t="s">
        <v>288</v>
      </c>
      <c r="F191" s="355">
        <f>TVM!X191</f>
        <v>6</v>
      </c>
      <c r="G191" s="355">
        <f>KLM!X191</f>
        <v>0</v>
      </c>
      <c r="H191" s="355">
        <f>PTA!X191</f>
        <v>10.799999999999999</v>
      </c>
      <c r="I191" s="355">
        <f>ALP!X191</f>
        <v>25.8</v>
      </c>
      <c r="J191" s="355">
        <f>KTM!X191</f>
        <v>0</v>
      </c>
      <c r="K191" s="355">
        <f>IDK!X191</f>
        <v>10.799999999999999</v>
      </c>
      <c r="L191" s="355">
        <f>EKM!X191</f>
        <v>16.8</v>
      </c>
      <c r="M191" s="355">
        <f>TSR!X191</f>
        <v>4.8000000000000007</v>
      </c>
      <c r="N191" s="355">
        <f>PLKD!X191</f>
        <v>52.5</v>
      </c>
      <c r="O191" s="355">
        <f>MLPM!X191</f>
        <v>14.399999999999999</v>
      </c>
      <c r="P191" s="355">
        <f>KKD!X191</f>
        <v>0</v>
      </c>
      <c r="Q191" s="355">
        <f>WYND!X191</f>
        <v>14.399999999999999</v>
      </c>
      <c r="R191" s="355">
        <f>KNR!X191</f>
        <v>9</v>
      </c>
      <c r="S191" s="355">
        <f>KSRGD!X191</f>
        <v>0</v>
      </c>
      <c r="T191" s="355">
        <f>SHS!X191</f>
        <v>270</v>
      </c>
      <c r="U191" s="22">
        <f t="shared" si="2"/>
        <v>435.29999999999995</v>
      </c>
    </row>
    <row r="192" spans="1:21" ht="63">
      <c r="A192" s="498"/>
      <c r="B192" s="496"/>
      <c r="C192" s="496"/>
      <c r="D192" s="43">
        <v>183</v>
      </c>
      <c r="E192" s="43" t="s">
        <v>289</v>
      </c>
      <c r="F192" s="355">
        <f>TVM!X192</f>
        <v>0</v>
      </c>
      <c r="G192" s="355">
        <f>KLM!X192</f>
        <v>0</v>
      </c>
      <c r="H192" s="355">
        <f>PTA!X192</f>
        <v>0</v>
      </c>
      <c r="I192" s="355">
        <f>ALP!X192</f>
        <v>0</v>
      </c>
      <c r="J192" s="355">
        <f>KTM!X192</f>
        <v>0</v>
      </c>
      <c r="K192" s="355">
        <f>IDK!X192</f>
        <v>0</v>
      </c>
      <c r="L192" s="355">
        <f>EKM!X192</f>
        <v>0</v>
      </c>
      <c r="M192" s="355">
        <f>TSR!X192</f>
        <v>0</v>
      </c>
      <c r="N192" s="355">
        <f>PLKD!X192</f>
        <v>0</v>
      </c>
      <c r="O192" s="355">
        <f>MLPM!X192</f>
        <v>0</v>
      </c>
      <c r="P192" s="355">
        <f>KKD!X192</f>
        <v>0</v>
      </c>
      <c r="Q192" s="355">
        <f>WYND!X192</f>
        <v>0</v>
      </c>
      <c r="R192" s="355">
        <f>KNR!X192</f>
        <v>0</v>
      </c>
      <c r="S192" s="355">
        <f>KSRGD!X192</f>
        <v>0</v>
      </c>
      <c r="T192" s="355">
        <f>SHS!X192</f>
        <v>0</v>
      </c>
      <c r="U192" s="22">
        <f t="shared" si="2"/>
        <v>0</v>
      </c>
    </row>
    <row r="193" spans="1:21" ht="63">
      <c r="A193" s="498"/>
      <c r="B193" s="43" t="s">
        <v>290</v>
      </c>
      <c r="C193" s="43" t="s">
        <v>291</v>
      </c>
      <c r="D193" s="43">
        <v>184</v>
      </c>
      <c r="E193" s="43" t="s">
        <v>292</v>
      </c>
      <c r="F193" s="355">
        <f>TVM!X193</f>
        <v>0</v>
      </c>
      <c r="G193" s="355">
        <f>KLM!X193</f>
        <v>0</v>
      </c>
      <c r="H193" s="355">
        <f>PTA!X193</f>
        <v>0</v>
      </c>
      <c r="I193" s="355">
        <f>ALP!X193</f>
        <v>0</v>
      </c>
      <c r="J193" s="355">
        <f>KTM!X193</f>
        <v>0</v>
      </c>
      <c r="K193" s="355">
        <f>IDK!X193</f>
        <v>0</v>
      </c>
      <c r="L193" s="355">
        <f>EKM!X193</f>
        <v>0</v>
      </c>
      <c r="M193" s="355">
        <f>TSR!X193</f>
        <v>0</v>
      </c>
      <c r="N193" s="355">
        <f>PLKD!X193</f>
        <v>0</v>
      </c>
      <c r="O193" s="355">
        <f>MLPM!X193</f>
        <v>0</v>
      </c>
      <c r="P193" s="355">
        <f>KKD!X193</f>
        <v>0</v>
      </c>
      <c r="Q193" s="355">
        <f>WYND!X193</f>
        <v>0</v>
      </c>
      <c r="R193" s="355">
        <f>KNR!X193</f>
        <v>0</v>
      </c>
      <c r="S193" s="355">
        <f>KSRGD!X193</f>
        <v>0</v>
      </c>
      <c r="T193" s="355">
        <f>SHS!X193</f>
        <v>4569</v>
      </c>
      <c r="U193" s="22">
        <f t="shared" si="2"/>
        <v>4569</v>
      </c>
    </row>
    <row r="194" spans="1:21" ht="31.5">
      <c r="A194" s="498"/>
      <c r="B194" s="497" t="s">
        <v>293</v>
      </c>
      <c r="C194" s="497" t="s">
        <v>235</v>
      </c>
      <c r="D194" s="43">
        <v>185</v>
      </c>
      <c r="E194" s="43" t="s">
        <v>236</v>
      </c>
      <c r="F194" s="355">
        <f>TVM!X194</f>
        <v>4101.0074399999985</v>
      </c>
      <c r="G194" s="355">
        <f>KLM!X194</f>
        <v>2792.8942879999995</v>
      </c>
      <c r="H194" s="355">
        <f>PTA!X194</f>
        <v>1896.2682848000002</v>
      </c>
      <c r="I194" s="355">
        <f>ALP!X194</f>
        <v>2423.0008448000003</v>
      </c>
      <c r="J194" s="355">
        <f>KTM!X194</f>
        <v>2157.6984159999997</v>
      </c>
      <c r="K194" s="355">
        <f>IDK!X194</f>
        <v>2130.2774880000002</v>
      </c>
      <c r="L194" s="355">
        <f>EKM!X194</f>
        <v>3297.5005399999991</v>
      </c>
      <c r="M194" s="355">
        <f>TSR!X194</f>
        <v>2913.6153999999997</v>
      </c>
      <c r="N194" s="355">
        <f>PLKD!X194</f>
        <v>2767.6166599999997</v>
      </c>
      <c r="O194" s="355">
        <f>MLPM!X194</f>
        <v>3706.1916199999978</v>
      </c>
      <c r="P194" s="355">
        <f>KKD!X194</f>
        <v>2733.57494</v>
      </c>
      <c r="Q194" s="355">
        <f>WYND!X194</f>
        <v>1945.3370800000005</v>
      </c>
      <c r="R194" s="355">
        <f>KNR!X194</f>
        <v>2847.0222999999987</v>
      </c>
      <c r="S194" s="355">
        <f>KSRGD!X194</f>
        <v>1890.9973000000005</v>
      </c>
      <c r="T194" s="355">
        <f>SHS!X194</f>
        <v>1354.1776649999999</v>
      </c>
      <c r="U194" s="22">
        <f t="shared" si="2"/>
        <v>38957.180266599993</v>
      </c>
    </row>
    <row r="195" spans="1:21" ht="47.25">
      <c r="A195" s="498"/>
      <c r="B195" s="498"/>
      <c r="C195" s="498"/>
      <c r="D195" s="43">
        <v>186</v>
      </c>
      <c r="E195" s="43" t="s">
        <v>237</v>
      </c>
      <c r="F195" s="355">
        <f>TVM!X195</f>
        <v>286.52699999999999</v>
      </c>
      <c r="G195" s="355">
        <f>KLM!X195</f>
        <v>44.102000000000004</v>
      </c>
      <c r="H195" s="355">
        <f>PTA!X195</f>
        <v>43.401500000000006</v>
      </c>
      <c r="I195" s="355">
        <f>ALP!X195</f>
        <v>43.383500000000005</v>
      </c>
      <c r="J195" s="355">
        <f>KTM!X195</f>
        <v>65.042500000000004</v>
      </c>
      <c r="K195" s="355">
        <f>IDK!X195</f>
        <v>85.034499999999994</v>
      </c>
      <c r="L195" s="355">
        <f>EKM!X195</f>
        <v>19.397500000000001</v>
      </c>
      <c r="M195" s="355">
        <f>TSR!X195</f>
        <v>48.295499999999997</v>
      </c>
      <c r="N195" s="355">
        <f>PLKD!X195</f>
        <v>26.989000000000001</v>
      </c>
      <c r="O195" s="355">
        <f>MLPM!X195</f>
        <v>77.62</v>
      </c>
      <c r="P195" s="355">
        <f>KKD!X195</f>
        <v>100.261</v>
      </c>
      <c r="Q195" s="355">
        <f>WYND!X195</f>
        <v>45.851500000000001</v>
      </c>
      <c r="R195" s="355">
        <f>KNR!X195</f>
        <v>17.527000000000001</v>
      </c>
      <c r="S195" s="355">
        <f>KSRGD!X195</f>
        <v>46.456499999999998</v>
      </c>
      <c r="T195" s="355">
        <f>SHS!X195</f>
        <v>515.245</v>
      </c>
      <c r="U195" s="22">
        <f t="shared" si="2"/>
        <v>1465.134</v>
      </c>
    </row>
    <row r="196" spans="1:21" ht="31.5">
      <c r="A196" s="498"/>
      <c r="B196" s="498"/>
      <c r="C196" s="498"/>
      <c r="D196" s="43">
        <v>187</v>
      </c>
      <c r="E196" s="43" t="s">
        <v>294</v>
      </c>
      <c r="F196" s="355">
        <f>TVM!X196</f>
        <v>1319.2830000000001</v>
      </c>
      <c r="G196" s="355">
        <f>KLM!X196</f>
        <v>1140.489</v>
      </c>
      <c r="H196" s="355">
        <f>PTA!X196</f>
        <v>707.04899999999998</v>
      </c>
      <c r="I196" s="355">
        <f>ALP!X196</f>
        <v>991.49399999999991</v>
      </c>
      <c r="J196" s="355">
        <f>KTM!X196</f>
        <v>902.09699999999998</v>
      </c>
      <c r="K196" s="355">
        <f>IDK!X196</f>
        <v>837.08100000000002</v>
      </c>
      <c r="L196" s="355">
        <f>EKM!X196</f>
        <v>1110.69</v>
      </c>
      <c r="M196" s="355">
        <f>TSR!X196</f>
        <v>1275.9390000000001</v>
      </c>
      <c r="N196" s="355">
        <f>PLKD!X196</f>
        <v>1365.336</v>
      </c>
      <c r="O196" s="355">
        <f>MLPM!X196</f>
        <v>1595.6010000000001</v>
      </c>
      <c r="P196" s="355">
        <f>KKD!X196</f>
        <v>1086.309</v>
      </c>
      <c r="Q196" s="355">
        <f>WYND!X196</f>
        <v>541.79999999999995</v>
      </c>
      <c r="R196" s="355">
        <f>KNR!X196</f>
        <v>1126.944</v>
      </c>
      <c r="S196" s="355">
        <f>KSRGD!X196</f>
        <v>669.12300000000005</v>
      </c>
      <c r="T196" s="355">
        <f>SHS!X196</f>
        <v>2.7090000000000001</v>
      </c>
      <c r="U196" s="22">
        <f t="shared" si="2"/>
        <v>14671.943999999998</v>
      </c>
    </row>
    <row r="197" spans="1:21" ht="31.5">
      <c r="A197" s="498"/>
      <c r="B197" s="498"/>
      <c r="C197" s="498"/>
      <c r="D197" s="43">
        <v>188</v>
      </c>
      <c r="E197" s="43" t="s">
        <v>238</v>
      </c>
      <c r="F197" s="355">
        <f>TVM!X197</f>
        <v>0</v>
      </c>
      <c r="G197" s="355">
        <f>KLM!X197</f>
        <v>0</v>
      </c>
      <c r="H197" s="355">
        <f>PTA!X197</f>
        <v>0</v>
      </c>
      <c r="I197" s="355">
        <f>ALP!X197</f>
        <v>0</v>
      </c>
      <c r="J197" s="355">
        <f>KTM!X197</f>
        <v>0</v>
      </c>
      <c r="K197" s="355">
        <f>IDK!X197</f>
        <v>0</v>
      </c>
      <c r="L197" s="355">
        <f>EKM!X197</f>
        <v>0</v>
      </c>
      <c r="M197" s="355">
        <f>TSR!X197</f>
        <v>0</v>
      </c>
      <c r="N197" s="355">
        <f>PLKD!X197</f>
        <v>0</v>
      </c>
      <c r="O197" s="355">
        <f>MLPM!X197</f>
        <v>0</v>
      </c>
      <c r="P197" s="355">
        <f>KKD!X197</f>
        <v>0</v>
      </c>
      <c r="Q197" s="355">
        <f>WYND!X197</f>
        <v>0</v>
      </c>
      <c r="R197" s="355">
        <f>KNR!X197</f>
        <v>0</v>
      </c>
      <c r="S197" s="355">
        <f>KSRGD!X197</f>
        <v>0</v>
      </c>
      <c r="T197" s="355">
        <f>SHS!X197</f>
        <v>0</v>
      </c>
      <c r="U197" s="22">
        <f t="shared" si="2"/>
        <v>0</v>
      </c>
    </row>
    <row r="198" spans="1:21" ht="47.25">
      <c r="A198" s="498"/>
      <c r="B198" s="498"/>
      <c r="C198" s="498"/>
      <c r="D198" s="43">
        <v>189</v>
      </c>
      <c r="E198" s="43" t="s">
        <v>295</v>
      </c>
      <c r="F198" s="355">
        <f>TVM!X198</f>
        <v>0</v>
      </c>
      <c r="G198" s="355">
        <f>KLM!X198</f>
        <v>0</v>
      </c>
      <c r="H198" s="355">
        <f>PTA!X198</f>
        <v>0</v>
      </c>
      <c r="I198" s="355">
        <f>ALP!X198</f>
        <v>0</v>
      </c>
      <c r="J198" s="355">
        <f>KTM!X198</f>
        <v>0</v>
      </c>
      <c r="K198" s="355">
        <f>IDK!X198</f>
        <v>0</v>
      </c>
      <c r="L198" s="355">
        <f>EKM!X198</f>
        <v>0</v>
      </c>
      <c r="M198" s="355">
        <f>TSR!X198</f>
        <v>0</v>
      </c>
      <c r="N198" s="355">
        <f>PLKD!X198</f>
        <v>0</v>
      </c>
      <c r="O198" s="355">
        <f>MLPM!X198</f>
        <v>0</v>
      </c>
      <c r="P198" s="355">
        <f>KKD!X198</f>
        <v>0</v>
      </c>
      <c r="Q198" s="355">
        <f>WYND!X198</f>
        <v>0</v>
      </c>
      <c r="R198" s="355">
        <f>KNR!X198</f>
        <v>0</v>
      </c>
      <c r="S198" s="355">
        <f>KSRGD!X198</f>
        <v>0</v>
      </c>
      <c r="T198" s="355">
        <f>SHS!X198</f>
        <v>0</v>
      </c>
      <c r="U198" s="22">
        <f t="shared" si="2"/>
        <v>0</v>
      </c>
    </row>
    <row r="199" spans="1:21" ht="47.25">
      <c r="A199" s="498"/>
      <c r="B199" s="496"/>
      <c r="C199" s="496"/>
      <c r="D199" s="43">
        <v>190</v>
      </c>
      <c r="E199" s="43" t="s">
        <v>296</v>
      </c>
      <c r="F199" s="355">
        <f>TVM!X199</f>
        <v>0</v>
      </c>
      <c r="G199" s="355">
        <f>KLM!X199</f>
        <v>0</v>
      </c>
      <c r="H199" s="355">
        <f>PTA!X199</f>
        <v>0</v>
      </c>
      <c r="I199" s="355">
        <f>ALP!X199</f>
        <v>0</v>
      </c>
      <c r="J199" s="355">
        <f>KTM!X199</f>
        <v>0</v>
      </c>
      <c r="K199" s="355">
        <f>IDK!X199</f>
        <v>0</v>
      </c>
      <c r="L199" s="355">
        <f>EKM!X199</f>
        <v>0</v>
      </c>
      <c r="M199" s="355">
        <f>TSR!X199</f>
        <v>0</v>
      </c>
      <c r="N199" s="355">
        <f>PLKD!X199</f>
        <v>0</v>
      </c>
      <c r="O199" s="355">
        <f>MLPM!X199</f>
        <v>0</v>
      </c>
      <c r="P199" s="355">
        <f>KKD!X199</f>
        <v>0</v>
      </c>
      <c r="Q199" s="355">
        <f>WYND!X199</f>
        <v>0</v>
      </c>
      <c r="R199" s="355">
        <f>KNR!X199</f>
        <v>0</v>
      </c>
      <c r="S199" s="355">
        <f>KSRGD!X199</f>
        <v>0</v>
      </c>
      <c r="T199" s="355">
        <f>SHS!X199</f>
        <v>0</v>
      </c>
      <c r="U199" s="22">
        <f t="shared" ref="U199:U217" si="3">SUM(F199:T199)</f>
        <v>0</v>
      </c>
    </row>
    <row r="200" spans="1:21" ht="31.5">
      <c r="A200" s="498"/>
      <c r="B200" s="497" t="s">
        <v>297</v>
      </c>
      <c r="C200" s="497" t="s">
        <v>298</v>
      </c>
      <c r="D200" s="43">
        <v>191</v>
      </c>
      <c r="E200" s="43" t="s">
        <v>299</v>
      </c>
      <c r="F200" s="355">
        <f>TVM!X200</f>
        <v>12.07</v>
      </c>
      <c r="G200" s="355">
        <f>KLM!X200</f>
        <v>0</v>
      </c>
      <c r="H200" s="355">
        <f>PTA!X200</f>
        <v>0</v>
      </c>
      <c r="I200" s="355">
        <f>ALP!X200</f>
        <v>0</v>
      </c>
      <c r="J200" s="355">
        <f>KTM!X200</f>
        <v>0</v>
      </c>
      <c r="K200" s="355">
        <f>IDK!X200</f>
        <v>0</v>
      </c>
      <c r="L200" s="355">
        <f>EKM!X200</f>
        <v>7</v>
      </c>
      <c r="M200" s="355">
        <f>TSR!X200</f>
        <v>0</v>
      </c>
      <c r="N200" s="355">
        <f>PLKD!X200</f>
        <v>2</v>
      </c>
      <c r="O200" s="355">
        <f>MLPM!X200</f>
        <v>0</v>
      </c>
      <c r="P200" s="355">
        <f>KKD!X200</f>
        <v>10.440000000000001</v>
      </c>
      <c r="Q200" s="355">
        <f>WYND!X200</f>
        <v>0</v>
      </c>
      <c r="R200" s="355">
        <f>KNR!X200</f>
        <v>6.65</v>
      </c>
      <c r="S200" s="355">
        <f>KSRGD!X200</f>
        <v>0</v>
      </c>
      <c r="T200" s="355">
        <f>SHS!X200</f>
        <v>4.3899999999999997</v>
      </c>
      <c r="U200" s="22">
        <f t="shared" si="3"/>
        <v>42.550000000000004</v>
      </c>
    </row>
    <row r="201" spans="1:21" ht="31.5">
      <c r="A201" s="498"/>
      <c r="B201" s="496"/>
      <c r="C201" s="496"/>
      <c r="D201" s="43">
        <v>192</v>
      </c>
      <c r="E201" s="43" t="s">
        <v>300</v>
      </c>
      <c r="F201" s="355">
        <f>TVM!X201</f>
        <v>0</v>
      </c>
      <c r="G201" s="355">
        <f>KLM!X201</f>
        <v>0</v>
      </c>
      <c r="H201" s="355">
        <f>PTA!X201</f>
        <v>0</v>
      </c>
      <c r="I201" s="355">
        <f>ALP!X201</f>
        <v>0</v>
      </c>
      <c r="J201" s="355">
        <f>KTM!X201</f>
        <v>0</v>
      </c>
      <c r="K201" s="355">
        <f>IDK!X201</f>
        <v>0</v>
      </c>
      <c r="L201" s="355">
        <f>EKM!X201</f>
        <v>0</v>
      </c>
      <c r="M201" s="355">
        <f>TSR!X201</f>
        <v>0</v>
      </c>
      <c r="N201" s="355">
        <f>PLKD!X201</f>
        <v>0</v>
      </c>
      <c r="O201" s="355">
        <f>MLPM!X201</f>
        <v>0</v>
      </c>
      <c r="P201" s="355">
        <f>KKD!X201</f>
        <v>0</v>
      </c>
      <c r="Q201" s="355">
        <f>WYND!X201</f>
        <v>0</v>
      </c>
      <c r="R201" s="355">
        <f>KNR!X201</f>
        <v>0</v>
      </c>
      <c r="S201" s="355">
        <f>KSRGD!X201</f>
        <v>0</v>
      </c>
      <c r="T201" s="355">
        <f>SHS!X201</f>
        <v>281.08999999999997</v>
      </c>
      <c r="U201" s="22">
        <f t="shared" si="3"/>
        <v>281.08999999999997</v>
      </c>
    </row>
    <row r="202" spans="1:21" ht="47.25">
      <c r="A202" s="498"/>
      <c r="B202" s="497" t="s">
        <v>301</v>
      </c>
      <c r="C202" s="497" t="s">
        <v>241</v>
      </c>
      <c r="D202" s="43">
        <v>193</v>
      </c>
      <c r="E202" s="43" t="s">
        <v>302</v>
      </c>
      <c r="F202" s="355">
        <f>TVM!X202</f>
        <v>0</v>
      </c>
      <c r="G202" s="355">
        <f>KLM!X202</f>
        <v>0</v>
      </c>
      <c r="H202" s="355">
        <f>PTA!X202</f>
        <v>0</v>
      </c>
      <c r="I202" s="355">
        <f>ALP!X202</f>
        <v>0</v>
      </c>
      <c r="J202" s="355">
        <f>KTM!X202</f>
        <v>0</v>
      </c>
      <c r="K202" s="355">
        <f>IDK!X202</f>
        <v>0</v>
      </c>
      <c r="L202" s="355">
        <f>EKM!X202</f>
        <v>0</v>
      </c>
      <c r="M202" s="355">
        <f>TSR!X202</f>
        <v>0</v>
      </c>
      <c r="N202" s="355">
        <f>PLKD!X202</f>
        <v>0</v>
      </c>
      <c r="O202" s="355">
        <f>MLPM!X202</f>
        <v>0</v>
      </c>
      <c r="P202" s="355">
        <f>KKD!X202</f>
        <v>0</v>
      </c>
      <c r="Q202" s="355">
        <f>WYND!X202</f>
        <v>0</v>
      </c>
      <c r="R202" s="355">
        <f>KNR!X202</f>
        <v>0</v>
      </c>
      <c r="S202" s="355">
        <f>KSRGD!X202</f>
        <v>0</v>
      </c>
      <c r="T202" s="355">
        <f>SHS!X202</f>
        <v>250</v>
      </c>
      <c r="U202" s="22">
        <f t="shared" si="3"/>
        <v>250</v>
      </c>
    </row>
    <row r="203" spans="1:21" ht="47.25">
      <c r="A203" s="498"/>
      <c r="B203" s="496"/>
      <c r="C203" s="496"/>
      <c r="D203" s="43">
        <v>194</v>
      </c>
      <c r="E203" s="43" t="s">
        <v>242</v>
      </c>
      <c r="F203" s="355">
        <f>TVM!X203</f>
        <v>91.69</v>
      </c>
      <c r="G203" s="355">
        <f>KLM!X203</f>
        <v>92.88</v>
      </c>
      <c r="H203" s="355">
        <f>PTA!X203</f>
        <v>84.47</v>
      </c>
      <c r="I203" s="355">
        <f>ALP!X203</f>
        <v>85.08</v>
      </c>
      <c r="J203" s="355">
        <f>KTM!X203</f>
        <v>90.49</v>
      </c>
      <c r="K203" s="355">
        <f>IDK!X203</f>
        <v>89.57</v>
      </c>
      <c r="L203" s="355">
        <f>EKM!X203</f>
        <v>108.75</v>
      </c>
      <c r="M203" s="355">
        <f>TSR!X203</f>
        <v>82.48</v>
      </c>
      <c r="N203" s="355">
        <f>PLKD!X203</f>
        <v>188.82</v>
      </c>
      <c r="O203" s="355">
        <f>MLPM!X203</f>
        <v>106.84</v>
      </c>
      <c r="P203" s="355">
        <f>KKD!X203</f>
        <v>94.19</v>
      </c>
      <c r="Q203" s="355">
        <f>WYND!X203</f>
        <v>80.040000000000006</v>
      </c>
      <c r="R203" s="355">
        <f>KNR!X203</f>
        <v>87.73</v>
      </c>
      <c r="S203" s="355">
        <f>KSRGD!X203</f>
        <v>76.12</v>
      </c>
      <c r="T203" s="355">
        <f>SHS!X203</f>
        <v>264.89999999999998</v>
      </c>
      <c r="U203" s="22">
        <f t="shared" si="3"/>
        <v>1624.0500000000002</v>
      </c>
    </row>
    <row r="204" spans="1:21" ht="47.25">
      <c r="A204" s="498"/>
      <c r="B204" s="497" t="s">
        <v>303</v>
      </c>
      <c r="C204" s="497" t="s">
        <v>304</v>
      </c>
      <c r="D204" s="43">
        <v>195</v>
      </c>
      <c r="E204" s="43" t="s">
        <v>305</v>
      </c>
      <c r="F204" s="355">
        <f>TVM!X204</f>
        <v>0</v>
      </c>
      <c r="G204" s="355">
        <f>KLM!X204</f>
        <v>0</v>
      </c>
      <c r="H204" s="355">
        <f>PTA!X204</f>
        <v>0</v>
      </c>
      <c r="I204" s="355">
        <f>ALP!X204</f>
        <v>0</v>
      </c>
      <c r="J204" s="355">
        <f>KTM!X204</f>
        <v>0</v>
      </c>
      <c r="K204" s="355">
        <f>IDK!X204</f>
        <v>0</v>
      </c>
      <c r="L204" s="355">
        <f>EKM!X204</f>
        <v>0</v>
      </c>
      <c r="M204" s="355">
        <f>TSR!X204</f>
        <v>0</v>
      </c>
      <c r="N204" s="355">
        <f>PLKD!X204</f>
        <v>0</v>
      </c>
      <c r="O204" s="355">
        <f>MLPM!X204</f>
        <v>0</v>
      </c>
      <c r="P204" s="355">
        <f>KKD!X204</f>
        <v>0</v>
      </c>
      <c r="Q204" s="355">
        <f>WYND!X204</f>
        <v>0</v>
      </c>
      <c r="R204" s="355">
        <f>KNR!X204</f>
        <v>0</v>
      </c>
      <c r="S204" s="355">
        <f>KSRGD!X204</f>
        <v>0</v>
      </c>
      <c r="T204" s="355">
        <f>SHS!X204</f>
        <v>0</v>
      </c>
      <c r="U204" s="22">
        <f t="shared" si="3"/>
        <v>0</v>
      </c>
    </row>
    <row r="205" spans="1:21" ht="31.5">
      <c r="A205" s="498"/>
      <c r="B205" s="498"/>
      <c r="C205" s="498"/>
      <c r="D205" s="43">
        <v>196</v>
      </c>
      <c r="E205" s="43" t="s">
        <v>306</v>
      </c>
      <c r="F205" s="355">
        <f>TVM!X205</f>
        <v>0</v>
      </c>
      <c r="G205" s="355">
        <f>KLM!X205</f>
        <v>0</v>
      </c>
      <c r="H205" s="355">
        <f>PTA!X205</f>
        <v>0</v>
      </c>
      <c r="I205" s="355">
        <f>ALP!X205</f>
        <v>0</v>
      </c>
      <c r="J205" s="355">
        <f>KTM!X205</f>
        <v>0</v>
      </c>
      <c r="K205" s="355">
        <f>IDK!X205</f>
        <v>0</v>
      </c>
      <c r="L205" s="355">
        <f>EKM!X205</f>
        <v>0</v>
      </c>
      <c r="M205" s="355">
        <f>TSR!X205</f>
        <v>0</v>
      </c>
      <c r="N205" s="355">
        <f>PLKD!X205</f>
        <v>0</v>
      </c>
      <c r="O205" s="355">
        <f>MLPM!X205</f>
        <v>0</v>
      </c>
      <c r="P205" s="355">
        <f>KKD!X205</f>
        <v>0</v>
      </c>
      <c r="Q205" s="355">
        <f>WYND!X205</f>
        <v>0</v>
      </c>
      <c r="R205" s="355">
        <f>KNR!X205</f>
        <v>0</v>
      </c>
      <c r="S205" s="355">
        <f>KSRGD!X205</f>
        <v>0</v>
      </c>
      <c r="T205" s="355">
        <f>SHS!X205</f>
        <v>0</v>
      </c>
      <c r="U205" s="22">
        <f t="shared" si="3"/>
        <v>0</v>
      </c>
    </row>
    <row r="206" spans="1:21" ht="31.5">
      <c r="A206" s="498"/>
      <c r="B206" s="496"/>
      <c r="C206" s="496"/>
      <c r="D206" s="43">
        <v>197</v>
      </c>
      <c r="E206" s="43" t="s">
        <v>307</v>
      </c>
      <c r="F206" s="355">
        <f>TVM!X206</f>
        <v>0</v>
      </c>
      <c r="G206" s="355">
        <f>KLM!X206</f>
        <v>0</v>
      </c>
      <c r="H206" s="355">
        <f>PTA!X206</f>
        <v>0</v>
      </c>
      <c r="I206" s="355">
        <f>ALP!X206</f>
        <v>0</v>
      </c>
      <c r="J206" s="355">
        <f>KTM!X206</f>
        <v>0</v>
      </c>
      <c r="K206" s="355">
        <f>IDK!X206</f>
        <v>0</v>
      </c>
      <c r="L206" s="355">
        <f>EKM!X206</f>
        <v>0</v>
      </c>
      <c r="M206" s="355">
        <f>TSR!X206</f>
        <v>0</v>
      </c>
      <c r="N206" s="355">
        <f>PLKD!X206</f>
        <v>0</v>
      </c>
      <c r="O206" s="355">
        <f>MLPM!X206</f>
        <v>0</v>
      </c>
      <c r="P206" s="355">
        <f>KKD!X206</f>
        <v>0</v>
      </c>
      <c r="Q206" s="355">
        <f>WYND!X206</f>
        <v>0</v>
      </c>
      <c r="R206" s="355">
        <f>KNR!X206</f>
        <v>0</v>
      </c>
      <c r="S206" s="355">
        <f>KSRGD!X206</f>
        <v>0</v>
      </c>
      <c r="T206" s="355">
        <f>SHS!X206</f>
        <v>0</v>
      </c>
      <c r="U206" s="22">
        <f t="shared" si="3"/>
        <v>0</v>
      </c>
    </row>
    <row r="207" spans="1:21" ht="63">
      <c r="A207" s="498"/>
      <c r="B207" s="43" t="s">
        <v>308</v>
      </c>
      <c r="C207" s="43" t="s">
        <v>246</v>
      </c>
      <c r="D207" s="43">
        <v>198</v>
      </c>
      <c r="E207" s="43" t="s">
        <v>247</v>
      </c>
      <c r="F207" s="355">
        <f>TVM!X207</f>
        <v>0</v>
      </c>
      <c r="G207" s="355">
        <f>KLM!X207</f>
        <v>0</v>
      </c>
      <c r="H207" s="355">
        <f>PTA!X207</f>
        <v>0</v>
      </c>
      <c r="I207" s="355">
        <f>ALP!X207</f>
        <v>0</v>
      </c>
      <c r="J207" s="355">
        <f>KTM!X207</f>
        <v>0</v>
      </c>
      <c r="K207" s="355">
        <f>IDK!X207</f>
        <v>0</v>
      </c>
      <c r="L207" s="355">
        <f>EKM!X207</f>
        <v>0</v>
      </c>
      <c r="M207" s="355">
        <f>TSR!X207</f>
        <v>0</v>
      </c>
      <c r="N207" s="355">
        <f>PLKD!X207</f>
        <v>0</v>
      </c>
      <c r="O207" s="355">
        <f>MLPM!X207</f>
        <v>0</v>
      </c>
      <c r="P207" s="355">
        <f>KKD!X207</f>
        <v>0</v>
      </c>
      <c r="Q207" s="355">
        <f>WYND!X207</f>
        <v>0</v>
      </c>
      <c r="R207" s="355">
        <f>KNR!X207</f>
        <v>0</v>
      </c>
      <c r="S207" s="355">
        <f>KSRGD!X207</f>
        <v>0</v>
      </c>
      <c r="T207" s="355">
        <f>SHS!X207</f>
        <v>0</v>
      </c>
      <c r="U207" s="22">
        <f t="shared" si="3"/>
        <v>0</v>
      </c>
    </row>
    <row r="208" spans="1:21" ht="31.5">
      <c r="A208" s="498"/>
      <c r="B208" s="43" t="s">
        <v>309</v>
      </c>
      <c r="C208" s="43" t="s">
        <v>249</v>
      </c>
      <c r="D208" s="43">
        <v>199</v>
      </c>
      <c r="E208" s="43" t="s">
        <v>250</v>
      </c>
      <c r="F208" s="355">
        <f>TVM!X208</f>
        <v>100.05</v>
      </c>
      <c r="G208" s="355">
        <f>KLM!X208</f>
        <v>86.75</v>
      </c>
      <c r="H208" s="355">
        <f>PTA!X208</f>
        <v>59.9</v>
      </c>
      <c r="I208" s="355">
        <f>ALP!X208</f>
        <v>87.1</v>
      </c>
      <c r="J208" s="355">
        <f>KTM!X208</f>
        <v>84.55</v>
      </c>
      <c r="K208" s="355">
        <f>IDK!X208</f>
        <v>54.35</v>
      </c>
      <c r="L208" s="355">
        <f>EKM!X208</f>
        <v>118</v>
      </c>
      <c r="M208" s="355">
        <f>TSR!X208</f>
        <v>110.65</v>
      </c>
      <c r="N208" s="355">
        <f>PLKD!X208</f>
        <v>103.75</v>
      </c>
      <c r="O208" s="355">
        <f>MLPM!X208</f>
        <v>142.30000000000001</v>
      </c>
      <c r="P208" s="355">
        <f>KKD!X208</f>
        <v>96.6</v>
      </c>
      <c r="Q208" s="355">
        <f>WYND!X208</f>
        <v>34.65</v>
      </c>
      <c r="R208" s="355">
        <f>KNR!X208</f>
        <v>97</v>
      </c>
      <c r="S208" s="355">
        <f>KSRGD!X208</f>
        <v>52.25</v>
      </c>
      <c r="T208" s="355">
        <f>SHS!X208</f>
        <v>0</v>
      </c>
      <c r="U208" s="22">
        <f t="shared" si="3"/>
        <v>1227.9000000000001</v>
      </c>
    </row>
    <row r="209" spans="1:21" ht="60.75">
      <c r="A209" s="498"/>
      <c r="B209" s="43" t="s">
        <v>310</v>
      </c>
      <c r="C209" s="84" t="s">
        <v>311</v>
      </c>
      <c r="D209" s="43">
        <v>200</v>
      </c>
      <c r="E209" s="43" t="s">
        <v>312</v>
      </c>
      <c r="F209" s="355">
        <f>TVM!X209</f>
        <v>0</v>
      </c>
      <c r="G209" s="355">
        <f>KLM!X209</f>
        <v>0</v>
      </c>
      <c r="H209" s="355">
        <f>PTA!X209</f>
        <v>0</v>
      </c>
      <c r="I209" s="355">
        <f>ALP!X209</f>
        <v>0</v>
      </c>
      <c r="J209" s="355">
        <f>KTM!X209</f>
        <v>0</v>
      </c>
      <c r="K209" s="355">
        <f>IDK!X209</f>
        <v>0</v>
      </c>
      <c r="L209" s="355">
        <f>EKM!X209</f>
        <v>0</v>
      </c>
      <c r="M209" s="355">
        <f>TSR!X209</f>
        <v>0</v>
      </c>
      <c r="N209" s="355">
        <f>PLKD!X209</f>
        <v>0</v>
      </c>
      <c r="O209" s="355">
        <f>MLPM!X209</f>
        <v>0</v>
      </c>
      <c r="P209" s="355">
        <f>KKD!X209</f>
        <v>0</v>
      </c>
      <c r="Q209" s="355">
        <f>WYND!X209</f>
        <v>0</v>
      </c>
      <c r="R209" s="355">
        <f>KNR!X209</f>
        <v>0</v>
      </c>
      <c r="S209" s="355">
        <f>KSRGD!X209</f>
        <v>0</v>
      </c>
      <c r="T209" s="355">
        <f>SHS!X209</f>
        <v>0</v>
      </c>
      <c r="U209" s="22">
        <f t="shared" si="3"/>
        <v>0</v>
      </c>
    </row>
    <row r="210" spans="1:21" ht="94.5">
      <c r="A210" s="498"/>
      <c r="B210" s="85" t="s">
        <v>313</v>
      </c>
      <c r="C210" s="18" t="s">
        <v>314</v>
      </c>
      <c r="D210" s="19">
        <v>201</v>
      </c>
      <c r="E210" s="43" t="s">
        <v>315</v>
      </c>
      <c r="F210" s="355">
        <f>TVM!X210</f>
        <v>44.3142</v>
      </c>
      <c r="G210" s="355">
        <f>KLM!X210</f>
        <v>40.3142</v>
      </c>
      <c r="H210" s="355">
        <f>PTA!X210</f>
        <v>36.754199999999997</v>
      </c>
      <c r="I210" s="355">
        <f>ALP!X210</f>
        <v>39.819200000000002</v>
      </c>
      <c r="J210" s="355">
        <f>KTM!X210</f>
        <v>38.679200000000002</v>
      </c>
      <c r="K210" s="355">
        <f>IDK!X210</f>
        <v>34.914200000000001</v>
      </c>
      <c r="L210" s="355">
        <f>EKM!X210</f>
        <v>43.364199999999997</v>
      </c>
      <c r="M210" s="355">
        <f>TSR!X210</f>
        <v>41.6342</v>
      </c>
      <c r="N210" s="355">
        <f>PLKD!X210</f>
        <v>47.4392</v>
      </c>
      <c r="O210" s="355">
        <f>MLPM!X210</f>
        <v>52.034199999999998</v>
      </c>
      <c r="P210" s="355">
        <f>KKD!X210</f>
        <v>42.849200000000003</v>
      </c>
      <c r="Q210" s="355">
        <f>WYND!X210</f>
        <v>34.354199999999999</v>
      </c>
      <c r="R210" s="355">
        <f>KNR!X210</f>
        <v>42.334200000000003</v>
      </c>
      <c r="S210" s="355">
        <f>KSRGD!X210</f>
        <v>37.5642</v>
      </c>
      <c r="T210" s="355">
        <f>SHS!X210</f>
        <v>216.92099999999999</v>
      </c>
      <c r="U210" s="22">
        <f t="shared" si="3"/>
        <v>793.28980000000001</v>
      </c>
    </row>
    <row r="211" spans="1:21" ht="63">
      <c r="A211" s="498"/>
      <c r="B211" s="18" t="s">
        <v>316</v>
      </c>
      <c r="C211" s="18" t="s">
        <v>317</v>
      </c>
      <c r="D211" s="19">
        <v>202</v>
      </c>
      <c r="E211" s="43" t="s">
        <v>318</v>
      </c>
      <c r="F211" s="355">
        <f>TVM!X211</f>
        <v>1377.41598</v>
      </c>
      <c r="G211" s="355">
        <f>KLM!X211</f>
        <v>1022.22614</v>
      </c>
      <c r="H211" s="355">
        <f>PTA!X211</f>
        <v>514.62909999999999</v>
      </c>
      <c r="I211" s="355">
        <f>ALP!X211</f>
        <v>962.78854000000001</v>
      </c>
      <c r="J211" s="355">
        <f>KTM!X211</f>
        <v>780.88400000000001</v>
      </c>
      <c r="K211" s="355">
        <f>IDK!X211</f>
        <v>531.96159999999998</v>
      </c>
      <c r="L211" s="355">
        <f>EKM!X211</f>
        <v>1251.2650000000001</v>
      </c>
      <c r="M211" s="355">
        <f>TSR!X211</f>
        <v>1240.4072000000001</v>
      </c>
      <c r="N211" s="355">
        <f>PLKD!X211</f>
        <v>1226.3037999999999</v>
      </c>
      <c r="O211" s="355">
        <f>MLPM!X211</f>
        <v>1917.6491000000001</v>
      </c>
      <c r="P211" s="355">
        <f>KKD!X211</f>
        <v>1163.0031200000001</v>
      </c>
      <c r="Q211" s="355">
        <f>WYND!X211</f>
        <v>482.26979999999998</v>
      </c>
      <c r="R211" s="355">
        <f>KNR!X211</f>
        <v>1059.92454</v>
      </c>
      <c r="S211" s="355">
        <f>KSRGD!X211</f>
        <v>531.79840000000002</v>
      </c>
      <c r="T211" s="355">
        <f>SHS!X211</f>
        <v>6.3680000002932502E-2</v>
      </c>
      <c r="U211" s="22">
        <f t="shared" si="3"/>
        <v>14062.590000000002</v>
      </c>
    </row>
    <row r="212" spans="1:21" ht="94.5">
      <c r="A212" s="498"/>
      <c r="B212" s="18" t="s">
        <v>319</v>
      </c>
      <c r="C212" s="18" t="s">
        <v>320</v>
      </c>
      <c r="D212" s="19">
        <v>203</v>
      </c>
      <c r="E212" s="43" t="s">
        <v>321</v>
      </c>
      <c r="F212" s="355">
        <f>TVM!X212</f>
        <v>0</v>
      </c>
      <c r="G212" s="355">
        <f>KLM!X212</f>
        <v>0</v>
      </c>
      <c r="H212" s="355">
        <f>PTA!X212</f>
        <v>0</v>
      </c>
      <c r="I212" s="355">
        <f>ALP!X212</f>
        <v>0</v>
      </c>
      <c r="J212" s="355">
        <f>KTM!X212</f>
        <v>0</v>
      </c>
      <c r="K212" s="355">
        <f>IDK!X212</f>
        <v>0</v>
      </c>
      <c r="L212" s="355">
        <f>EKM!X212</f>
        <v>0</v>
      </c>
      <c r="M212" s="355">
        <f>TSR!X212</f>
        <v>0</v>
      </c>
      <c r="N212" s="355">
        <f>PLKD!X212</f>
        <v>0</v>
      </c>
      <c r="O212" s="355">
        <f>MLPM!X212</f>
        <v>0</v>
      </c>
      <c r="P212" s="355">
        <f>KKD!X212</f>
        <v>0</v>
      </c>
      <c r="Q212" s="355">
        <f>WYND!X212</f>
        <v>0</v>
      </c>
      <c r="R212" s="355">
        <f>KNR!X212</f>
        <v>0</v>
      </c>
      <c r="S212" s="355">
        <f>KSRGD!X212</f>
        <v>0</v>
      </c>
      <c r="T212" s="355">
        <f>SHS!X212</f>
        <v>257.76</v>
      </c>
      <c r="U212" s="22">
        <f t="shared" si="3"/>
        <v>257.76</v>
      </c>
    </row>
    <row r="213" spans="1:21" ht="47.25">
      <c r="A213" s="498"/>
      <c r="B213" s="18" t="s">
        <v>322</v>
      </c>
      <c r="C213" s="18" t="s">
        <v>323</v>
      </c>
      <c r="D213" s="19">
        <v>204</v>
      </c>
      <c r="E213" s="43" t="s">
        <v>324</v>
      </c>
      <c r="F213" s="355">
        <f>TVM!X213</f>
        <v>25.294599999999999</v>
      </c>
      <c r="G213" s="355">
        <f>KLM!X213</f>
        <v>20.927199999999999</v>
      </c>
      <c r="H213" s="355">
        <f>PTA!X213</f>
        <v>20.045200000000001</v>
      </c>
      <c r="I213" s="355">
        <f>ALP!X213</f>
        <v>22.317</v>
      </c>
      <c r="J213" s="355">
        <f>KTM!X213</f>
        <v>20.451000000000001</v>
      </c>
      <c r="K213" s="355">
        <f>IDK!X213</f>
        <v>19.840399999999999</v>
      </c>
      <c r="L213" s="355">
        <f>EKM!X213</f>
        <v>24.524999999999999</v>
      </c>
      <c r="M213" s="355">
        <f>TSR!X213</f>
        <v>22.122199999999999</v>
      </c>
      <c r="N213" s="355">
        <f>PLKD!X213</f>
        <v>25.647400000000001</v>
      </c>
      <c r="O213" s="355">
        <f>MLPM!X213</f>
        <v>27.998000000000001</v>
      </c>
      <c r="P213" s="355">
        <f>KKD!X213</f>
        <v>22.757999999999999</v>
      </c>
      <c r="Q213" s="355">
        <f>WYND!X213</f>
        <v>20.0014</v>
      </c>
      <c r="R213" s="355">
        <f>KNR!X213</f>
        <v>21.4482</v>
      </c>
      <c r="S213" s="355">
        <f>KSRGD!X213</f>
        <v>20.496400000000001</v>
      </c>
      <c r="T213" s="355">
        <f>SHS!X213</f>
        <v>455.22</v>
      </c>
      <c r="U213" s="22">
        <f t="shared" si="3"/>
        <v>769.09199999999998</v>
      </c>
    </row>
    <row r="214" spans="1:21" ht="63">
      <c r="A214" s="498"/>
      <c r="B214" s="18" t="s">
        <v>326</v>
      </c>
      <c r="C214" s="18" t="s">
        <v>291</v>
      </c>
      <c r="D214" s="19">
        <v>205</v>
      </c>
      <c r="E214" s="43" t="s">
        <v>327</v>
      </c>
      <c r="F214" s="355">
        <f>TVM!X214</f>
        <v>0</v>
      </c>
      <c r="G214" s="355">
        <f>KLM!X214</f>
        <v>0</v>
      </c>
      <c r="H214" s="355">
        <f>PTA!X214</f>
        <v>0</v>
      </c>
      <c r="I214" s="355">
        <f>ALP!X214</f>
        <v>0</v>
      </c>
      <c r="J214" s="355">
        <f>KTM!X214</f>
        <v>0</v>
      </c>
      <c r="K214" s="355">
        <f>IDK!X214</f>
        <v>0</v>
      </c>
      <c r="L214" s="355">
        <f>EKM!X214</f>
        <v>0</v>
      </c>
      <c r="M214" s="355">
        <f>TSR!X214</f>
        <v>0</v>
      </c>
      <c r="N214" s="355">
        <f>PLKD!X214</f>
        <v>0</v>
      </c>
      <c r="O214" s="355">
        <f>MLPM!X214</f>
        <v>0</v>
      </c>
      <c r="P214" s="355">
        <f>KKD!X214</f>
        <v>0</v>
      </c>
      <c r="Q214" s="355">
        <f>WYND!X214</f>
        <v>0</v>
      </c>
      <c r="R214" s="355">
        <f>KNR!X214</f>
        <v>0</v>
      </c>
      <c r="S214" s="355">
        <f>KSRGD!X214</f>
        <v>0</v>
      </c>
      <c r="T214" s="355">
        <f>SHS!X214</f>
        <v>185.70123000000001</v>
      </c>
      <c r="U214" s="22">
        <f t="shared" si="3"/>
        <v>185.70123000000001</v>
      </c>
    </row>
    <row r="215" spans="1:21" ht="47.25">
      <c r="A215" s="498"/>
      <c r="B215" s="18" t="s">
        <v>329</v>
      </c>
      <c r="C215" s="18" t="s">
        <v>246</v>
      </c>
      <c r="D215" s="19">
        <v>206</v>
      </c>
      <c r="E215" s="43" t="s">
        <v>330</v>
      </c>
      <c r="F215" s="355">
        <f>TVM!X215</f>
        <v>0</v>
      </c>
      <c r="G215" s="355">
        <f>KLM!X215</f>
        <v>0</v>
      </c>
      <c r="H215" s="355">
        <f>PTA!X215</f>
        <v>0</v>
      </c>
      <c r="I215" s="355">
        <f>ALP!X215</f>
        <v>0</v>
      </c>
      <c r="J215" s="355">
        <f>KTM!X215</f>
        <v>0</v>
      </c>
      <c r="K215" s="355">
        <f>IDK!X215</f>
        <v>0</v>
      </c>
      <c r="L215" s="355">
        <f>EKM!X215</f>
        <v>0</v>
      </c>
      <c r="M215" s="355">
        <f>TSR!X215</f>
        <v>0</v>
      </c>
      <c r="N215" s="355">
        <f>PLKD!X215</f>
        <v>0</v>
      </c>
      <c r="O215" s="355">
        <f>MLPM!X215</f>
        <v>0</v>
      </c>
      <c r="P215" s="355">
        <f>KKD!X215</f>
        <v>0</v>
      </c>
      <c r="Q215" s="355">
        <f>WYND!X215</f>
        <v>0</v>
      </c>
      <c r="R215" s="355">
        <f>KNR!X215</f>
        <v>0</v>
      </c>
      <c r="S215" s="355">
        <f>KSRGD!X215</f>
        <v>15</v>
      </c>
      <c r="T215" s="355">
        <f>SHS!X215</f>
        <v>0</v>
      </c>
      <c r="U215" s="22">
        <f t="shared" si="3"/>
        <v>15</v>
      </c>
    </row>
    <row r="216" spans="1:21" ht="24" customHeight="1">
      <c r="A216" s="496"/>
      <c r="B216" s="500" t="s">
        <v>331</v>
      </c>
      <c r="C216" s="489"/>
      <c r="D216" s="490"/>
      <c r="E216" s="59"/>
      <c r="F216" s="459">
        <f>TVM!X216</f>
        <v>7880.6042199999983</v>
      </c>
      <c r="G216" s="459">
        <f>KLM!X216</f>
        <v>5484.356827999999</v>
      </c>
      <c r="H216" s="459">
        <f>PTA!X216</f>
        <v>3648.5032848000001</v>
      </c>
      <c r="I216" s="459">
        <f>ALP!X216</f>
        <v>4952.3830847999998</v>
      </c>
      <c r="J216" s="459">
        <f>KTM!X216</f>
        <v>4390.5781160000006</v>
      </c>
      <c r="K216" s="459">
        <f>IDK!X216</f>
        <v>4080.7311880000002</v>
      </c>
      <c r="L216" s="459">
        <f>EKM!X216</f>
        <v>6365.0622399999993</v>
      </c>
      <c r="M216" s="459">
        <f>TSR!X216</f>
        <v>6032.9534999999987</v>
      </c>
      <c r="N216" s="459">
        <f>PLKD!X216</f>
        <v>6091.5740599999981</v>
      </c>
      <c r="O216" s="459">
        <f>MLPM!X216</f>
        <v>7992.8979199999976</v>
      </c>
      <c r="P216" s="459">
        <f>KKD!X216</f>
        <v>5587.1112600000006</v>
      </c>
      <c r="Q216" s="459">
        <f>WYND!X216</f>
        <v>3331.2319800000014</v>
      </c>
      <c r="R216" s="459">
        <f>KNR!X216</f>
        <v>5613.7462399999986</v>
      </c>
      <c r="S216" s="459">
        <f>KSRGD!X216</f>
        <v>3639.5458000000003</v>
      </c>
      <c r="T216" s="459">
        <f>SHS!X216</f>
        <v>36771.471813999997</v>
      </c>
      <c r="U216" s="459">
        <f t="shared" si="3"/>
        <v>111862.75153559999</v>
      </c>
    </row>
    <row r="217" spans="1:21" s="96" customFormat="1" ht="19.5" customHeight="1">
      <c r="A217" s="502" t="s">
        <v>332</v>
      </c>
      <c r="B217" s="512"/>
      <c r="C217" s="512"/>
      <c r="D217" s="513"/>
      <c r="E217" s="237"/>
      <c r="F217" s="462">
        <f>TVM!X217</f>
        <v>11552.498549999997</v>
      </c>
      <c r="G217" s="462">
        <f>KLM!X217</f>
        <v>7109.3158179999991</v>
      </c>
      <c r="H217" s="462">
        <f>PTA!X217</f>
        <v>4524.5223447999997</v>
      </c>
      <c r="I217" s="462">
        <f>ALP!X217</f>
        <v>6592.4625248000002</v>
      </c>
      <c r="J217" s="462">
        <f>KTM!X217</f>
        <v>5812.4785760000004</v>
      </c>
      <c r="K217" s="462">
        <f>IDK!X217</f>
        <v>4968.736038</v>
      </c>
      <c r="L217" s="462">
        <f>EKM!X217</f>
        <v>9497.8994899999998</v>
      </c>
      <c r="M217" s="462">
        <f>TSR!X217</f>
        <v>8214.8572800000002</v>
      </c>
      <c r="N217" s="462">
        <f>PLKD!X217</f>
        <v>7911.8246799999997</v>
      </c>
      <c r="O217" s="462">
        <f>MLPM!X217</f>
        <v>11308.262639999997</v>
      </c>
      <c r="P217" s="462">
        <f>KKD!X217</f>
        <v>8504.2146100000009</v>
      </c>
      <c r="Q217" s="462">
        <f>WYND!X217</f>
        <v>4230.9622800000016</v>
      </c>
      <c r="R217" s="462">
        <f>KNR!X217</f>
        <v>7702.2177999999976</v>
      </c>
      <c r="S217" s="462">
        <f>KSRGD!X217</f>
        <v>4608.0497100000002</v>
      </c>
      <c r="T217" s="462">
        <f>SHS!X217</f>
        <v>52025.969395200002</v>
      </c>
      <c r="U217" s="462">
        <f t="shared" si="3"/>
        <v>154564.2717368</v>
      </c>
    </row>
    <row r="218" spans="1:21">
      <c r="A218" s="38"/>
      <c r="B218" s="38"/>
      <c r="C218" s="38"/>
      <c r="D218" s="38"/>
      <c r="E218" s="38"/>
      <c r="F218" s="38"/>
      <c r="G218" s="38"/>
      <c r="H218" s="38"/>
      <c r="I218" s="38"/>
      <c r="J218" s="38"/>
      <c r="K218" s="38"/>
      <c r="L218" s="38"/>
      <c r="M218" s="38"/>
      <c r="N218" s="38"/>
      <c r="O218" s="38"/>
      <c r="P218" s="38"/>
      <c r="Q218" s="38"/>
      <c r="R218" s="38"/>
      <c r="S218" s="38"/>
      <c r="T218" s="38"/>
      <c r="U218" s="38"/>
    </row>
    <row r="219" spans="1:21">
      <c r="A219" s="38"/>
      <c r="B219" s="38"/>
      <c r="C219" s="38"/>
      <c r="D219" s="38"/>
      <c r="E219" s="38"/>
      <c r="F219" s="38"/>
      <c r="G219" s="38"/>
      <c r="H219" s="38"/>
      <c r="I219" s="38"/>
      <c r="J219" s="38"/>
      <c r="K219" s="38"/>
      <c r="L219" s="38"/>
      <c r="M219" s="38"/>
      <c r="N219" s="38"/>
      <c r="O219" s="38"/>
      <c r="P219" s="38"/>
      <c r="Q219" s="38"/>
      <c r="R219" s="38"/>
      <c r="S219" s="38"/>
      <c r="T219" s="38"/>
      <c r="U219" s="38"/>
    </row>
    <row r="220" spans="1:21">
      <c r="A220" s="38"/>
      <c r="B220" s="38"/>
      <c r="C220" s="38"/>
      <c r="D220" s="38"/>
      <c r="E220" s="38"/>
      <c r="F220" s="38"/>
      <c r="G220" s="38"/>
      <c r="H220" s="38"/>
      <c r="I220" s="38"/>
      <c r="J220" s="38"/>
      <c r="K220" s="38"/>
      <c r="L220" s="38"/>
      <c r="M220" s="38"/>
      <c r="N220" s="38"/>
      <c r="O220" s="38"/>
      <c r="P220" s="38"/>
      <c r="Q220" s="38"/>
      <c r="R220" s="38"/>
      <c r="S220" s="38"/>
      <c r="T220" s="38"/>
      <c r="U220" s="38"/>
    </row>
    <row r="221" spans="1:21">
      <c r="A221" s="38"/>
      <c r="B221" s="38"/>
      <c r="C221" s="38"/>
      <c r="D221" s="38"/>
      <c r="E221" s="38"/>
      <c r="F221" s="38"/>
      <c r="G221" s="38"/>
      <c r="H221" s="38"/>
      <c r="I221" s="38"/>
      <c r="J221" s="38"/>
      <c r="K221" s="38"/>
      <c r="L221" s="38"/>
      <c r="M221" s="38"/>
      <c r="N221" s="38"/>
      <c r="O221" s="38"/>
      <c r="P221" s="38"/>
      <c r="Q221" s="38"/>
      <c r="R221" s="38"/>
      <c r="S221" s="38"/>
      <c r="T221" s="38"/>
      <c r="U221" s="38"/>
    </row>
    <row r="222" spans="1:21">
      <c r="A222" s="38"/>
      <c r="B222" s="38"/>
      <c r="C222" s="38"/>
      <c r="D222" s="38"/>
      <c r="E222" s="38"/>
      <c r="F222" s="38"/>
      <c r="G222" s="38"/>
      <c r="H222" s="38"/>
      <c r="I222" s="38"/>
      <c r="J222" s="38"/>
      <c r="K222" s="38"/>
      <c r="L222" s="38"/>
      <c r="M222" s="38"/>
      <c r="N222" s="38"/>
      <c r="O222" s="38"/>
      <c r="P222" s="38"/>
      <c r="Q222" s="38"/>
      <c r="R222" s="38"/>
      <c r="S222" s="38"/>
      <c r="T222" s="38"/>
      <c r="U222" s="38"/>
    </row>
    <row r="223" spans="1:21">
      <c r="A223" s="38"/>
      <c r="B223" s="38"/>
      <c r="C223" s="38"/>
      <c r="D223" s="38"/>
      <c r="E223" s="38"/>
      <c r="F223" s="38"/>
      <c r="G223" s="38"/>
      <c r="H223" s="38"/>
      <c r="I223" s="38"/>
      <c r="J223" s="38"/>
      <c r="K223" s="38"/>
      <c r="L223" s="38"/>
      <c r="M223" s="38"/>
      <c r="N223" s="38"/>
      <c r="O223" s="38"/>
      <c r="P223" s="38"/>
      <c r="Q223" s="38"/>
      <c r="R223" s="38"/>
      <c r="S223" s="38"/>
      <c r="T223" s="38"/>
      <c r="U223" s="38"/>
    </row>
    <row r="224" spans="1:21">
      <c r="A224" s="38"/>
      <c r="B224" s="38"/>
      <c r="C224" s="38"/>
      <c r="D224" s="38"/>
      <c r="E224" s="38"/>
      <c r="F224" s="38"/>
      <c r="G224" s="38"/>
      <c r="H224" s="38"/>
      <c r="I224" s="38"/>
      <c r="J224" s="38"/>
      <c r="K224" s="38"/>
      <c r="L224" s="38"/>
      <c r="M224" s="38"/>
      <c r="N224" s="38"/>
      <c r="O224" s="38"/>
      <c r="P224" s="38"/>
      <c r="Q224" s="38"/>
      <c r="R224" s="38"/>
      <c r="S224" s="38"/>
      <c r="T224" s="38"/>
      <c r="U224" s="38"/>
    </row>
    <row r="225" spans="1:21">
      <c r="A225" s="38"/>
      <c r="B225" s="38"/>
      <c r="C225" s="38"/>
      <c r="D225" s="38"/>
      <c r="E225" s="38"/>
      <c r="F225" s="38"/>
      <c r="G225" s="38"/>
      <c r="H225" s="38"/>
      <c r="I225" s="38"/>
      <c r="J225" s="38"/>
      <c r="K225" s="38"/>
      <c r="L225" s="38"/>
      <c r="M225" s="38"/>
      <c r="N225" s="38"/>
      <c r="O225" s="38"/>
      <c r="P225" s="38"/>
      <c r="Q225" s="38"/>
      <c r="R225" s="38"/>
      <c r="S225" s="38"/>
      <c r="T225" s="38"/>
      <c r="U225" s="38"/>
    </row>
    <row r="226" spans="1:21">
      <c r="A226" s="38"/>
      <c r="B226" s="38"/>
      <c r="C226" s="38"/>
      <c r="D226" s="38"/>
      <c r="E226" s="38"/>
      <c r="F226" s="38"/>
      <c r="G226" s="38"/>
      <c r="H226" s="38"/>
      <c r="I226" s="38"/>
      <c r="J226" s="38"/>
      <c r="K226" s="38"/>
      <c r="L226" s="38"/>
      <c r="M226" s="38"/>
      <c r="N226" s="38"/>
      <c r="O226" s="38"/>
      <c r="P226" s="38"/>
      <c r="Q226" s="38"/>
      <c r="R226" s="38"/>
      <c r="S226" s="38"/>
      <c r="T226" s="38"/>
      <c r="U226" s="38"/>
    </row>
    <row r="227" spans="1:21">
      <c r="A227" s="38"/>
      <c r="B227" s="38"/>
      <c r="C227" s="38"/>
      <c r="D227" s="38"/>
      <c r="E227" s="38"/>
      <c r="F227" s="38"/>
      <c r="G227" s="38"/>
      <c r="H227" s="38"/>
      <c r="I227" s="38"/>
      <c r="J227" s="38"/>
      <c r="K227" s="38"/>
      <c r="L227" s="38"/>
      <c r="M227" s="38"/>
      <c r="N227" s="38"/>
      <c r="O227" s="38"/>
      <c r="P227" s="38"/>
      <c r="Q227" s="38"/>
      <c r="R227" s="38"/>
      <c r="S227" s="38"/>
      <c r="T227" s="38"/>
      <c r="U227" s="38"/>
    </row>
    <row r="228" spans="1:21">
      <c r="A228" s="38"/>
      <c r="B228" s="38"/>
      <c r="C228" s="38"/>
      <c r="D228" s="38"/>
      <c r="E228" s="38"/>
      <c r="F228" s="38"/>
      <c r="G228" s="38"/>
      <c r="H228" s="38"/>
      <c r="I228" s="38"/>
      <c r="J228" s="38"/>
      <c r="K228" s="38"/>
      <c r="L228" s="38"/>
      <c r="M228" s="38"/>
      <c r="N228" s="38"/>
      <c r="O228" s="38"/>
      <c r="P228" s="38"/>
      <c r="Q228" s="38"/>
      <c r="R228" s="38"/>
      <c r="S228" s="38"/>
      <c r="T228" s="38"/>
      <c r="U228" s="38"/>
    </row>
    <row r="229" spans="1:21">
      <c r="A229" s="38"/>
      <c r="B229" s="38"/>
      <c r="C229" s="38"/>
      <c r="D229" s="38"/>
      <c r="E229" s="38"/>
      <c r="F229" s="38"/>
      <c r="G229" s="38"/>
      <c r="H229" s="38"/>
      <c r="I229" s="38"/>
      <c r="J229" s="38"/>
      <c r="K229" s="38"/>
      <c r="L229" s="38"/>
      <c r="M229" s="38"/>
      <c r="N229" s="38"/>
      <c r="O229" s="38"/>
      <c r="P229" s="38"/>
      <c r="Q229" s="38"/>
      <c r="R229" s="38"/>
      <c r="S229" s="38"/>
      <c r="T229" s="38"/>
      <c r="U229" s="38"/>
    </row>
    <row r="230" spans="1:21">
      <c r="A230" s="38"/>
      <c r="B230" s="38"/>
      <c r="C230" s="38"/>
      <c r="D230" s="38"/>
      <c r="E230" s="38"/>
      <c r="F230" s="38"/>
      <c r="G230" s="38"/>
      <c r="H230" s="38"/>
      <c r="I230" s="38"/>
      <c r="J230" s="38"/>
      <c r="K230" s="38"/>
      <c r="L230" s="38"/>
      <c r="M230" s="38"/>
      <c r="N230" s="38"/>
      <c r="O230" s="38"/>
      <c r="P230" s="38"/>
      <c r="Q230" s="38"/>
      <c r="R230" s="38"/>
      <c r="S230" s="38"/>
      <c r="T230" s="38"/>
      <c r="U230" s="38"/>
    </row>
    <row r="231" spans="1:21">
      <c r="A231" s="38"/>
      <c r="B231" s="38"/>
      <c r="C231" s="38"/>
      <c r="D231" s="38"/>
      <c r="E231" s="38"/>
      <c r="F231" s="38"/>
      <c r="G231" s="38"/>
      <c r="H231" s="38"/>
      <c r="I231" s="38"/>
      <c r="J231" s="38"/>
      <c r="K231" s="38"/>
      <c r="L231" s="38"/>
      <c r="M231" s="38"/>
      <c r="N231" s="38"/>
      <c r="O231" s="38"/>
      <c r="P231" s="38"/>
      <c r="Q231" s="38"/>
      <c r="R231" s="38"/>
      <c r="S231" s="38"/>
      <c r="T231" s="38"/>
      <c r="U231" s="38"/>
    </row>
    <row r="232" spans="1:21">
      <c r="A232" s="38"/>
      <c r="B232" s="38"/>
      <c r="C232" s="38"/>
      <c r="D232" s="38"/>
      <c r="E232" s="38"/>
      <c r="F232" s="38"/>
      <c r="G232" s="38"/>
      <c r="H232" s="38"/>
      <c r="I232" s="38"/>
      <c r="J232" s="38"/>
      <c r="K232" s="38"/>
      <c r="L232" s="38"/>
      <c r="M232" s="38"/>
      <c r="N232" s="38"/>
      <c r="O232" s="38"/>
      <c r="P232" s="38"/>
      <c r="Q232" s="38"/>
      <c r="R232" s="38"/>
      <c r="S232" s="38"/>
      <c r="T232" s="38"/>
      <c r="U232" s="38"/>
    </row>
    <row r="233" spans="1:21">
      <c r="A233" s="38"/>
      <c r="B233" s="38"/>
      <c r="C233" s="38"/>
      <c r="D233" s="38"/>
      <c r="E233" s="38"/>
      <c r="F233" s="38"/>
      <c r="G233" s="38"/>
      <c r="H233" s="38"/>
      <c r="I233" s="38"/>
      <c r="J233" s="38"/>
      <c r="K233" s="38"/>
      <c r="L233" s="38"/>
      <c r="M233" s="38"/>
      <c r="N233" s="38"/>
      <c r="O233" s="38"/>
      <c r="P233" s="38"/>
      <c r="Q233" s="38"/>
      <c r="R233" s="38"/>
      <c r="S233" s="38"/>
      <c r="T233" s="38"/>
      <c r="U233" s="38"/>
    </row>
    <row r="234" spans="1:21">
      <c r="A234" s="38"/>
      <c r="B234" s="38"/>
      <c r="C234" s="38"/>
      <c r="D234" s="38"/>
      <c r="E234" s="38"/>
      <c r="F234" s="38"/>
      <c r="G234" s="38"/>
      <c r="H234" s="38"/>
      <c r="I234" s="38"/>
      <c r="J234" s="38"/>
      <c r="K234" s="38"/>
      <c r="L234" s="38"/>
      <c r="M234" s="38"/>
      <c r="N234" s="38"/>
      <c r="O234" s="38"/>
      <c r="P234" s="38"/>
      <c r="Q234" s="38"/>
      <c r="R234" s="38"/>
      <c r="S234" s="38"/>
      <c r="T234" s="38"/>
      <c r="U234" s="38"/>
    </row>
    <row r="235" spans="1:21">
      <c r="A235" s="38"/>
      <c r="B235" s="38"/>
      <c r="C235" s="38"/>
      <c r="D235" s="38"/>
      <c r="E235" s="38"/>
      <c r="F235" s="38"/>
      <c r="G235" s="38"/>
      <c r="H235" s="38"/>
      <c r="I235" s="38"/>
      <c r="J235" s="38"/>
      <c r="K235" s="38"/>
      <c r="L235" s="38"/>
      <c r="M235" s="38"/>
      <c r="N235" s="38"/>
      <c r="O235" s="38"/>
      <c r="P235" s="38"/>
      <c r="Q235" s="38"/>
      <c r="R235" s="38"/>
      <c r="S235" s="38"/>
      <c r="T235" s="38"/>
      <c r="U235" s="38"/>
    </row>
    <row r="236" spans="1:21">
      <c r="A236" s="38"/>
      <c r="B236" s="38"/>
      <c r="C236" s="38"/>
      <c r="D236" s="38"/>
      <c r="E236" s="38"/>
      <c r="F236" s="38"/>
      <c r="G236" s="38"/>
      <c r="H236" s="38"/>
      <c r="I236" s="38"/>
      <c r="J236" s="38"/>
      <c r="K236" s="38"/>
      <c r="L236" s="38"/>
      <c r="M236" s="38"/>
      <c r="N236" s="38"/>
      <c r="O236" s="38"/>
      <c r="P236" s="38"/>
      <c r="Q236" s="38"/>
      <c r="R236" s="38"/>
      <c r="S236" s="38"/>
      <c r="T236" s="38"/>
      <c r="U236" s="38"/>
    </row>
    <row r="237" spans="1:21">
      <c r="A237" s="38"/>
      <c r="B237" s="38"/>
      <c r="C237" s="38"/>
      <c r="D237" s="38"/>
      <c r="E237" s="38"/>
      <c r="F237" s="38"/>
      <c r="G237" s="38"/>
      <c r="H237" s="38"/>
      <c r="I237" s="38"/>
      <c r="J237" s="38"/>
      <c r="K237" s="38"/>
      <c r="L237" s="38"/>
      <c r="M237" s="38"/>
      <c r="N237" s="38"/>
      <c r="O237" s="38"/>
      <c r="P237" s="38"/>
      <c r="Q237" s="38"/>
      <c r="R237" s="38"/>
      <c r="S237" s="38"/>
      <c r="T237" s="38"/>
      <c r="U237" s="38"/>
    </row>
    <row r="238" spans="1:21">
      <c r="A238" s="38"/>
      <c r="B238" s="38"/>
      <c r="C238" s="38"/>
      <c r="D238" s="38"/>
      <c r="E238" s="38"/>
      <c r="F238" s="38"/>
      <c r="G238" s="38"/>
      <c r="H238" s="38"/>
      <c r="I238" s="38"/>
      <c r="J238" s="38"/>
      <c r="K238" s="38"/>
      <c r="L238" s="38"/>
      <c r="M238" s="38"/>
      <c r="N238" s="38"/>
      <c r="O238" s="38"/>
      <c r="P238" s="38"/>
      <c r="Q238" s="38"/>
      <c r="R238" s="38"/>
      <c r="S238" s="38"/>
      <c r="T238" s="38"/>
      <c r="U238" s="38"/>
    </row>
    <row r="239" spans="1:21">
      <c r="A239" s="38"/>
      <c r="B239" s="38"/>
      <c r="C239" s="38"/>
      <c r="D239" s="38"/>
      <c r="E239" s="38"/>
      <c r="F239" s="38"/>
      <c r="G239" s="38"/>
      <c r="H239" s="38"/>
      <c r="I239" s="38"/>
      <c r="J239" s="38"/>
      <c r="K239" s="38"/>
      <c r="L239" s="38"/>
      <c r="M239" s="38"/>
      <c r="N239" s="38"/>
      <c r="O239" s="38"/>
      <c r="P239" s="38"/>
      <c r="Q239" s="38"/>
      <c r="R239" s="38"/>
      <c r="S239" s="38"/>
      <c r="T239" s="38"/>
      <c r="U239" s="38"/>
    </row>
    <row r="240" spans="1:21">
      <c r="A240" s="38"/>
      <c r="B240" s="38"/>
      <c r="C240" s="38"/>
      <c r="D240" s="38"/>
      <c r="E240" s="38"/>
      <c r="F240" s="38"/>
      <c r="G240" s="38"/>
      <c r="H240" s="38"/>
      <c r="I240" s="38"/>
      <c r="J240" s="38"/>
      <c r="K240" s="38"/>
      <c r="L240" s="38"/>
      <c r="M240" s="38"/>
      <c r="N240" s="38"/>
      <c r="O240" s="38"/>
      <c r="P240" s="38"/>
      <c r="Q240" s="38"/>
      <c r="R240" s="38"/>
      <c r="S240" s="38"/>
      <c r="T240" s="38"/>
      <c r="U240" s="38"/>
    </row>
    <row r="241" spans="1:21">
      <c r="A241" s="38"/>
      <c r="B241" s="38"/>
      <c r="C241" s="38"/>
      <c r="D241" s="38"/>
      <c r="E241" s="38"/>
      <c r="F241" s="38"/>
      <c r="G241" s="38"/>
      <c r="H241" s="38"/>
      <c r="I241" s="38"/>
      <c r="J241" s="38"/>
      <c r="K241" s="38"/>
      <c r="L241" s="38"/>
      <c r="M241" s="38"/>
      <c r="N241" s="38"/>
      <c r="O241" s="38"/>
      <c r="P241" s="38"/>
      <c r="Q241" s="38"/>
      <c r="R241" s="38"/>
      <c r="S241" s="38"/>
      <c r="T241" s="38"/>
      <c r="U241" s="38"/>
    </row>
    <row r="242" spans="1:21">
      <c r="A242" s="38"/>
      <c r="B242" s="38"/>
      <c r="C242" s="38"/>
      <c r="D242" s="38"/>
      <c r="E242" s="38"/>
      <c r="F242" s="38"/>
      <c r="G242" s="38"/>
      <c r="H242" s="38"/>
      <c r="I242" s="38"/>
      <c r="J242" s="38"/>
      <c r="K242" s="38"/>
      <c r="L242" s="38"/>
      <c r="M242" s="38"/>
      <c r="N242" s="38"/>
      <c r="O242" s="38"/>
      <c r="P242" s="38"/>
      <c r="Q242" s="38"/>
      <c r="R242" s="38"/>
      <c r="S242" s="38"/>
      <c r="T242" s="38"/>
      <c r="U242" s="38"/>
    </row>
    <row r="243" spans="1:21">
      <c r="A243" s="38"/>
      <c r="B243" s="38"/>
      <c r="C243" s="38"/>
      <c r="D243" s="38"/>
      <c r="E243" s="38"/>
      <c r="F243" s="38"/>
      <c r="G243" s="38"/>
      <c r="H243" s="38"/>
      <c r="I243" s="38"/>
      <c r="J243" s="38"/>
      <c r="K243" s="38"/>
      <c r="L243" s="38"/>
      <c r="M243" s="38"/>
      <c r="N243" s="38"/>
      <c r="O243" s="38"/>
      <c r="P243" s="38"/>
      <c r="Q243" s="38"/>
      <c r="R243" s="38"/>
      <c r="S243" s="38"/>
      <c r="T243" s="38"/>
      <c r="U243" s="38"/>
    </row>
    <row r="244" spans="1:21">
      <c r="A244" s="38"/>
      <c r="B244" s="38"/>
      <c r="C244" s="38"/>
      <c r="D244" s="38"/>
      <c r="E244" s="38"/>
      <c r="F244" s="38"/>
      <c r="G244" s="38"/>
      <c r="H244" s="38"/>
      <c r="I244" s="38"/>
      <c r="J244" s="38"/>
      <c r="K244" s="38"/>
      <c r="L244" s="38"/>
      <c r="M244" s="38"/>
      <c r="N244" s="38"/>
      <c r="O244" s="38"/>
      <c r="P244" s="38"/>
      <c r="Q244" s="38"/>
      <c r="R244" s="38"/>
      <c r="S244" s="38"/>
      <c r="T244" s="38"/>
      <c r="U244" s="38"/>
    </row>
    <row r="245" spans="1:21">
      <c r="A245" s="38"/>
      <c r="B245" s="38"/>
      <c r="C245" s="38"/>
      <c r="D245" s="38"/>
      <c r="E245" s="38"/>
      <c r="F245" s="38"/>
      <c r="G245" s="38"/>
      <c r="H245" s="38"/>
      <c r="I245" s="38"/>
      <c r="J245" s="38"/>
      <c r="K245" s="38"/>
      <c r="L245" s="38"/>
      <c r="M245" s="38"/>
      <c r="N245" s="38"/>
      <c r="O245" s="38"/>
      <c r="P245" s="38"/>
      <c r="Q245" s="38"/>
      <c r="R245" s="38"/>
      <c r="S245" s="38"/>
      <c r="T245" s="38"/>
      <c r="U245" s="38"/>
    </row>
    <row r="246" spans="1:21">
      <c r="A246" s="38"/>
      <c r="B246" s="38"/>
      <c r="C246" s="38"/>
      <c r="D246" s="38"/>
      <c r="E246" s="38"/>
      <c r="F246" s="38"/>
      <c r="G246" s="38"/>
      <c r="H246" s="38"/>
      <c r="I246" s="38"/>
      <c r="J246" s="38"/>
      <c r="K246" s="38"/>
      <c r="L246" s="38"/>
      <c r="M246" s="38"/>
      <c r="N246" s="38"/>
      <c r="O246" s="38"/>
      <c r="P246" s="38"/>
      <c r="Q246" s="38"/>
      <c r="R246" s="38"/>
      <c r="S246" s="38"/>
      <c r="T246" s="38"/>
      <c r="U246" s="38"/>
    </row>
    <row r="247" spans="1:21">
      <c r="A247" s="38"/>
      <c r="B247" s="38"/>
      <c r="C247" s="38"/>
      <c r="D247" s="38"/>
      <c r="E247" s="38"/>
      <c r="F247" s="38"/>
      <c r="G247" s="38"/>
      <c r="H247" s="38"/>
      <c r="I247" s="38"/>
      <c r="J247" s="38"/>
      <c r="K247" s="38"/>
      <c r="L247" s="38"/>
      <c r="M247" s="38"/>
      <c r="N247" s="38"/>
      <c r="O247" s="38"/>
      <c r="P247" s="38"/>
      <c r="Q247" s="38"/>
      <c r="R247" s="38"/>
      <c r="S247" s="38"/>
      <c r="T247" s="38"/>
      <c r="U247" s="38"/>
    </row>
    <row r="248" spans="1:21">
      <c r="A248" s="38"/>
      <c r="B248" s="38"/>
      <c r="C248" s="38"/>
      <c r="D248" s="38"/>
      <c r="E248" s="38"/>
      <c r="F248" s="38"/>
      <c r="G248" s="38"/>
      <c r="H248" s="38"/>
      <c r="I248" s="38"/>
      <c r="J248" s="38"/>
      <c r="K248" s="38"/>
      <c r="L248" s="38"/>
      <c r="M248" s="38"/>
      <c r="N248" s="38"/>
      <c r="O248" s="38"/>
      <c r="P248" s="38"/>
      <c r="Q248" s="38"/>
      <c r="R248" s="38"/>
      <c r="S248" s="38"/>
      <c r="T248" s="38"/>
      <c r="U248" s="38"/>
    </row>
    <row r="249" spans="1:21">
      <c r="A249" s="38"/>
      <c r="B249" s="38"/>
      <c r="C249" s="38"/>
      <c r="D249" s="38"/>
      <c r="E249" s="38"/>
      <c r="F249" s="38"/>
      <c r="G249" s="38"/>
      <c r="H249" s="38"/>
      <c r="I249" s="38"/>
      <c r="J249" s="38"/>
      <c r="K249" s="38"/>
      <c r="L249" s="38"/>
      <c r="M249" s="38"/>
      <c r="N249" s="38"/>
      <c r="O249" s="38"/>
      <c r="P249" s="38"/>
      <c r="Q249" s="38"/>
      <c r="R249" s="38"/>
      <c r="S249" s="38"/>
      <c r="T249" s="38"/>
      <c r="U249" s="38"/>
    </row>
    <row r="250" spans="1:21">
      <c r="A250" s="38"/>
      <c r="B250" s="38"/>
      <c r="C250" s="38"/>
      <c r="D250" s="38"/>
      <c r="E250" s="38"/>
      <c r="F250" s="38"/>
      <c r="G250" s="38"/>
      <c r="H250" s="38"/>
      <c r="I250" s="38"/>
      <c r="J250" s="38"/>
      <c r="K250" s="38"/>
      <c r="L250" s="38"/>
      <c r="M250" s="38"/>
      <c r="N250" s="38"/>
      <c r="O250" s="38"/>
      <c r="P250" s="38"/>
      <c r="Q250" s="38"/>
      <c r="R250" s="38"/>
      <c r="S250" s="38"/>
      <c r="T250" s="38"/>
      <c r="U250" s="38"/>
    </row>
    <row r="251" spans="1:21">
      <c r="A251" s="38"/>
      <c r="B251" s="38"/>
      <c r="C251" s="38"/>
      <c r="D251" s="38"/>
      <c r="E251" s="38"/>
      <c r="F251" s="38"/>
      <c r="G251" s="38"/>
      <c r="H251" s="38"/>
      <c r="I251" s="38"/>
      <c r="J251" s="38"/>
      <c r="K251" s="38"/>
      <c r="L251" s="38"/>
      <c r="M251" s="38"/>
      <c r="N251" s="38"/>
      <c r="O251" s="38"/>
      <c r="P251" s="38"/>
      <c r="Q251" s="38"/>
      <c r="R251" s="38"/>
      <c r="S251" s="38"/>
      <c r="T251" s="38"/>
      <c r="U251" s="38"/>
    </row>
    <row r="252" spans="1:21">
      <c r="A252" s="38"/>
      <c r="B252" s="38"/>
      <c r="C252" s="38"/>
      <c r="D252" s="38"/>
      <c r="E252" s="38"/>
      <c r="F252" s="38"/>
      <c r="G252" s="38"/>
      <c r="H252" s="38"/>
      <c r="I252" s="38"/>
      <c r="J252" s="38"/>
      <c r="K252" s="38"/>
      <c r="L252" s="38"/>
      <c r="M252" s="38"/>
      <c r="N252" s="38"/>
      <c r="O252" s="38"/>
      <c r="P252" s="38"/>
      <c r="Q252" s="38"/>
      <c r="R252" s="38"/>
      <c r="S252" s="38"/>
      <c r="T252" s="38"/>
      <c r="U252" s="38"/>
    </row>
    <row r="253" spans="1:21">
      <c r="A253" s="38"/>
      <c r="B253" s="38"/>
      <c r="C253" s="38"/>
      <c r="D253" s="38"/>
      <c r="E253" s="38"/>
      <c r="F253" s="38"/>
      <c r="G253" s="38"/>
      <c r="H253" s="38"/>
      <c r="I253" s="38"/>
      <c r="J253" s="38"/>
      <c r="K253" s="38"/>
      <c r="L253" s="38"/>
      <c r="M253" s="38"/>
      <c r="N253" s="38"/>
      <c r="O253" s="38"/>
      <c r="P253" s="38"/>
      <c r="Q253" s="38"/>
      <c r="R253" s="38"/>
      <c r="S253" s="38"/>
      <c r="T253" s="38"/>
      <c r="U253" s="38"/>
    </row>
    <row r="254" spans="1:21">
      <c r="A254" s="38"/>
      <c r="B254" s="38"/>
      <c r="C254" s="38"/>
      <c r="D254" s="38"/>
      <c r="E254" s="38"/>
      <c r="F254" s="38"/>
      <c r="G254" s="38"/>
      <c r="H254" s="38"/>
      <c r="I254" s="38"/>
      <c r="J254" s="38"/>
      <c r="K254" s="38"/>
      <c r="L254" s="38"/>
      <c r="M254" s="38"/>
      <c r="N254" s="38"/>
      <c r="O254" s="38"/>
      <c r="P254" s="38"/>
      <c r="Q254" s="38"/>
      <c r="R254" s="38"/>
      <c r="S254" s="38"/>
      <c r="T254" s="38"/>
      <c r="U254" s="38"/>
    </row>
    <row r="255" spans="1:21">
      <c r="A255" s="38"/>
      <c r="B255" s="38"/>
      <c r="C255" s="38"/>
      <c r="D255" s="38"/>
      <c r="E255" s="38"/>
      <c r="F255" s="38"/>
      <c r="G255" s="38"/>
      <c r="H255" s="38"/>
      <c r="I255" s="38"/>
      <c r="J255" s="38"/>
      <c r="K255" s="38"/>
      <c r="L255" s="38"/>
      <c r="M255" s="38"/>
      <c r="N255" s="38"/>
      <c r="O255" s="38"/>
      <c r="P255" s="38"/>
      <c r="Q255" s="38"/>
      <c r="R255" s="38"/>
      <c r="S255" s="38"/>
      <c r="T255" s="38"/>
      <c r="U255" s="38"/>
    </row>
    <row r="256" spans="1:21">
      <c r="A256" s="38"/>
      <c r="B256" s="38"/>
      <c r="C256" s="38"/>
      <c r="D256" s="38"/>
      <c r="E256" s="38"/>
      <c r="F256" s="38"/>
      <c r="G256" s="38"/>
      <c r="H256" s="38"/>
      <c r="I256" s="38"/>
      <c r="J256" s="38"/>
      <c r="K256" s="38"/>
      <c r="L256" s="38"/>
      <c r="M256" s="38"/>
      <c r="N256" s="38"/>
      <c r="O256" s="38"/>
      <c r="P256" s="38"/>
      <c r="Q256" s="38"/>
      <c r="R256" s="38"/>
      <c r="S256" s="38"/>
      <c r="T256" s="38"/>
      <c r="U256" s="38"/>
    </row>
    <row r="257" spans="1:21">
      <c r="A257" s="38"/>
      <c r="B257" s="38"/>
      <c r="C257" s="38"/>
      <c r="D257" s="38"/>
      <c r="E257" s="38"/>
      <c r="F257" s="38"/>
      <c r="G257" s="38"/>
      <c r="H257" s="38"/>
      <c r="I257" s="38"/>
      <c r="J257" s="38"/>
      <c r="K257" s="38"/>
      <c r="L257" s="38"/>
      <c r="M257" s="38"/>
      <c r="N257" s="38"/>
      <c r="O257" s="38"/>
      <c r="P257" s="38"/>
      <c r="Q257" s="38"/>
      <c r="R257" s="38"/>
      <c r="S257" s="38"/>
      <c r="T257" s="38"/>
      <c r="U257" s="38"/>
    </row>
    <row r="258" spans="1:21">
      <c r="A258" s="38"/>
      <c r="B258" s="38"/>
      <c r="C258" s="38"/>
      <c r="D258" s="38"/>
      <c r="E258" s="38"/>
      <c r="F258" s="38"/>
      <c r="G258" s="38"/>
      <c r="H258" s="38"/>
      <c r="I258" s="38"/>
      <c r="J258" s="38"/>
      <c r="K258" s="38"/>
      <c r="L258" s="38"/>
      <c r="M258" s="38"/>
      <c r="N258" s="38"/>
      <c r="O258" s="38"/>
      <c r="P258" s="38"/>
      <c r="Q258" s="38"/>
      <c r="R258" s="38"/>
      <c r="S258" s="38"/>
      <c r="T258" s="38"/>
      <c r="U258" s="38"/>
    </row>
    <row r="259" spans="1:21">
      <c r="A259" s="38"/>
      <c r="B259" s="38"/>
      <c r="C259" s="38"/>
      <c r="D259" s="38"/>
      <c r="E259" s="38"/>
      <c r="F259" s="38"/>
      <c r="G259" s="38"/>
      <c r="H259" s="38"/>
      <c r="I259" s="38"/>
      <c r="J259" s="38"/>
      <c r="K259" s="38"/>
      <c r="L259" s="38"/>
      <c r="M259" s="38"/>
      <c r="N259" s="38"/>
      <c r="O259" s="38"/>
      <c r="P259" s="38"/>
      <c r="Q259" s="38"/>
      <c r="R259" s="38"/>
      <c r="S259" s="38"/>
      <c r="T259" s="38"/>
      <c r="U259" s="38"/>
    </row>
    <row r="260" spans="1:21">
      <c r="A260" s="38"/>
      <c r="B260" s="38"/>
      <c r="C260" s="38"/>
      <c r="D260" s="38"/>
      <c r="E260" s="38"/>
      <c r="F260" s="38"/>
      <c r="G260" s="38"/>
      <c r="H260" s="38"/>
      <c r="I260" s="38"/>
      <c r="J260" s="38"/>
      <c r="K260" s="38"/>
      <c r="L260" s="38"/>
      <c r="M260" s="38"/>
      <c r="N260" s="38"/>
      <c r="O260" s="38"/>
      <c r="P260" s="38"/>
      <c r="Q260" s="38"/>
      <c r="R260" s="38"/>
      <c r="S260" s="38"/>
      <c r="T260" s="38"/>
      <c r="U260" s="38"/>
    </row>
    <row r="261" spans="1:21">
      <c r="A261" s="38"/>
      <c r="B261" s="38"/>
      <c r="C261" s="38"/>
      <c r="D261" s="38"/>
      <c r="E261" s="38"/>
      <c r="F261" s="38"/>
      <c r="G261" s="38"/>
      <c r="H261" s="38"/>
      <c r="I261" s="38"/>
      <c r="J261" s="38"/>
      <c r="K261" s="38"/>
      <c r="L261" s="38"/>
      <c r="M261" s="38"/>
      <c r="N261" s="38"/>
      <c r="O261" s="38"/>
      <c r="P261" s="38"/>
      <c r="Q261" s="38"/>
      <c r="R261" s="38"/>
      <c r="S261" s="38"/>
      <c r="T261" s="38"/>
      <c r="U261" s="38"/>
    </row>
    <row r="262" spans="1:21">
      <c r="A262" s="38"/>
      <c r="B262" s="38"/>
      <c r="C262" s="38"/>
      <c r="D262" s="38"/>
      <c r="E262" s="38"/>
      <c r="F262" s="38"/>
      <c r="G262" s="38"/>
      <c r="H262" s="38"/>
      <c r="I262" s="38"/>
      <c r="J262" s="38"/>
      <c r="K262" s="38"/>
      <c r="L262" s="38"/>
      <c r="M262" s="38"/>
      <c r="N262" s="38"/>
      <c r="O262" s="38"/>
      <c r="P262" s="38"/>
      <c r="Q262" s="38"/>
      <c r="R262" s="38"/>
      <c r="S262" s="38"/>
      <c r="T262" s="38"/>
      <c r="U262" s="38"/>
    </row>
    <row r="263" spans="1:21">
      <c r="A263" s="38"/>
      <c r="B263" s="38"/>
      <c r="C263" s="38"/>
      <c r="D263" s="38"/>
      <c r="E263" s="38"/>
      <c r="F263" s="38"/>
      <c r="G263" s="38"/>
      <c r="H263" s="38"/>
      <c r="I263" s="38"/>
      <c r="J263" s="38"/>
      <c r="K263" s="38"/>
      <c r="L263" s="38"/>
      <c r="M263" s="38"/>
      <c r="N263" s="38"/>
      <c r="O263" s="38"/>
      <c r="P263" s="38"/>
      <c r="Q263" s="38"/>
      <c r="R263" s="38"/>
      <c r="S263" s="38"/>
      <c r="T263" s="38"/>
      <c r="U263" s="38"/>
    </row>
    <row r="264" spans="1:21">
      <c r="A264" s="38"/>
      <c r="B264" s="38"/>
      <c r="C264" s="38"/>
      <c r="D264" s="38"/>
      <c r="E264" s="38"/>
      <c r="F264" s="38"/>
      <c r="G264" s="38"/>
      <c r="H264" s="38"/>
      <c r="I264" s="38"/>
      <c r="J264" s="38"/>
      <c r="K264" s="38"/>
      <c r="L264" s="38"/>
      <c r="M264" s="38"/>
      <c r="N264" s="38"/>
      <c r="O264" s="38"/>
      <c r="P264" s="38"/>
      <c r="Q264" s="38"/>
      <c r="R264" s="38"/>
      <c r="S264" s="38"/>
      <c r="T264" s="38"/>
      <c r="U264" s="38"/>
    </row>
    <row r="265" spans="1:21">
      <c r="A265" s="38"/>
      <c r="B265" s="38"/>
      <c r="C265" s="38"/>
      <c r="D265" s="38"/>
      <c r="E265" s="38"/>
      <c r="F265" s="38"/>
      <c r="G265" s="38"/>
      <c r="H265" s="38"/>
      <c r="I265" s="38"/>
      <c r="J265" s="38"/>
      <c r="K265" s="38"/>
      <c r="L265" s="38"/>
      <c r="M265" s="38"/>
      <c r="N265" s="38"/>
      <c r="O265" s="38"/>
      <c r="P265" s="38"/>
      <c r="Q265" s="38"/>
      <c r="R265" s="38"/>
      <c r="S265" s="38"/>
      <c r="T265" s="38"/>
      <c r="U265" s="38"/>
    </row>
    <row r="266" spans="1:21">
      <c r="A266" s="38"/>
      <c r="B266" s="38"/>
      <c r="C266" s="38"/>
      <c r="D266" s="38"/>
      <c r="E266" s="38"/>
      <c r="F266" s="38"/>
      <c r="G266" s="38"/>
      <c r="H266" s="38"/>
      <c r="I266" s="38"/>
      <c r="J266" s="38"/>
      <c r="K266" s="38"/>
      <c r="L266" s="38"/>
      <c r="M266" s="38"/>
      <c r="N266" s="38"/>
      <c r="O266" s="38"/>
      <c r="P266" s="38"/>
      <c r="Q266" s="38"/>
      <c r="R266" s="38"/>
      <c r="S266" s="38"/>
      <c r="T266" s="38"/>
      <c r="U266" s="38"/>
    </row>
    <row r="267" spans="1:21">
      <c r="A267" s="38"/>
      <c r="B267" s="38"/>
      <c r="C267" s="38"/>
      <c r="D267" s="38"/>
      <c r="E267" s="38"/>
      <c r="F267" s="38"/>
      <c r="G267" s="38"/>
      <c r="H267" s="38"/>
      <c r="I267" s="38"/>
      <c r="J267" s="38"/>
      <c r="K267" s="38"/>
      <c r="L267" s="38"/>
      <c r="M267" s="38"/>
      <c r="N267" s="38"/>
      <c r="O267" s="38"/>
      <c r="P267" s="38"/>
      <c r="Q267" s="38"/>
      <c r="R267" s="38"/>
      <c r="S267" s="38"/>
      <c r="T267" s="38"/>
      <c r="U267" s="38"/>
    </row>
    <row r="268" spans="1:21">
      <c r="A268" s="38"/>
      <c r="B268" s="38"/>
      <c r="C268" s="38"/>
      <c r="D268" s="38"/>
      <c r="E268" s="38"/>
      <c r="F268" s="38"/>
      <c r="G268" s="38"/>
      <c r="H268" s="38"/>
      <c r="I268" s="38"/>
      <c r="J268" s="38"/>
      <c r="K268" s="38"/>
      <c r="L268" s="38"/>
      <c r="M268" s="38"/>
      <c r="N268" s="38"/>
      <c r="O268" s="38"/>
      <c r="P268" s="38"/>
      <c r="Q268" s="38"/>
      <c r="R268" s="38"/>
      <c r="S268" s="38"/>
      <c r="T268" s="38"/>
      <c r="U268" s="38"/>
    </row>
    <row r="269" spans="1:21">
      <c r="A269" s="38"/>
      <c r="B269" s="38"/>
      <c r="C269" s="38"/>
      <c r="D269" s="38"/>
      <c r="E269" s="38"/>
      <c r="F269" s="38"/>
      <c r="G269" s="38"/>
      <c r="H269" s="38"/>
      <c r="I269" s="38"/>
      <c r="J269" s="38"/>
      <c r="K269" s="38"/>
      <c r="L269" s="38"/>
      <c r="M269" s="38"/>
      <c r="N269" s="38"/>
      <c r="O269" s="38"/>
      <c r="P269" s="38"/>
      <c r="Q269" s="38"/>
      <c r="R269" s="38"/>
      <c r="S269" s="38"/>
      <c r="T269" s="38"/>
      <c r="U269" s="38"/>
    </row>
    <row r="270" spans="1:21">
      <c r="A270" s="38"/>
      <c r="B270" s="38"/>
      <c r="C270" s="38"/>
      <c r="D270" s="38"/>
      <c r="E270" s="38"/>
      <c r="F270" s="38"/>
      <c r="G270" s="38"/>
      <c r="H270" s="38"/>
      <c r="I270" s="38"/>
      <c r="J270" s="38"/>
      <c r="K270" s="38"/>
      <c r="L270" s="38"/>
      <c r="M270" s="38"/>
      <c r="N270" s="38"/>
      <c r="O270" s="38"/>
      <c r="P270" s="38"/>
      <c r="Q270" s="38"/>
      <c r="R270" s="38"/>
      <c r="S270" s="38"/>
      <c r="T270" s="38"/>
      <c r="U270" s="38"/>
    </row>
    <row r="271" spans="1:21">
      <c r="A271" s="38"/>
      <c r="B271" s="38"/>
      <c r="C271" s="38"/>
      <c r="D271" s="38"/>
      <c r="E271" s="38"/>
      <c r="F271" s="38"/>
      <c r="G271" s="38"/>
      <c r="H271" s="38"/>
      <c r="I271" s="38"/>
      <c r="J271" s="38"/>
      <c r="K271" s="38"/>
      <c r="L271" s="38"/>
      <c r="M271" s="38"/>
      <c r="N271" s="38"/>
      <c r="O271" s="38"/>
      <c r="P271" s="38"/>
      <c r="Q271" s="38"/>
      <c r="R271" s="38"/>
      <c r="S271" s="38"/>
      <c r="T271" s="38"/>
      <c r="U271" s="38"/>
    </row>
    <row r="272" spans="1:21">
      <c r="A272" s="38"/>
      <c r="B272" s="38"/>
      <c r="C272" s="38"/>
      <c r="D272" s="38"/>
      <c r="E272" s="38"/>
      <c r="F272" s="38"/>
      <c r="G272" s="38"/>
      <c r="H272" s="38"/>
      <c r="I272" s="38"/>
      <c r="J272" s="38"/>
      <c r="K272" s="38"/>
      <c r="L272" s="38"/>
      <c r="M272" s="38"/>
      <c r="N272" s="38"/>
      <c r="O272" s="38"/>
      <c r="P272" s="38"/>
      <c r="Q272" s="38"/>
      <c r="R272" s="38"/>
      <c r="S272" s="38"/>
      <c r="T272" s="38"/>
      <c r="U272" s="38"/>
    </row>
    <row r="273" spans="1:21">
      <c r="A273" s="38"/>
      <c r="B273" s="38"/>
      <c r="C273" s="38"/>
      <c r="D273" s="38"/>
      <c r="E273" s="38"/>
      <c r="F273" s="38"/>
      <c r="G273" s="38"/>
      <c r="H273" s="38"/>
      <c r="I273" s="38"/>
      <c r="J273" s="38"/>
      <c r="K273" s="38"/>
      <c r="L273" s="38"/>
      <c r="M273" s="38"/>
      <c r="N273" s="38"/>
      <c r="O273" s="38"/>
      <c r="P273" s="38"/>
      <c r="Q273" s="38"/>
      <c r="R273" s="38"/>
      <c r="S273" s="38"/>
      <c r="T273" s="38"/>
      <c r="U273" s="38"/>
    </row>
    <row r="274" spans="1:21">
      <c r="A274" s="38"/>
      <c r="B274" s="38"/>
      <c r="C274" s="38"/>
      <c r="D274" s="38"/>
      <c r="E274" s="38"/>
      <c r="F274" s="38"/>
      <c r="G274" s="38"/>
      <c r="H274" s="38"/>
      <c r="I274" s="38"/>
      <c r="J274" s="38"/>
      <c r="K274" s="38"/>
      <c r="L274" s="38"/>
      <c r="M274" s="38"/>
      <c r="N274" s="38"/>
      <c r="O274" s="38"/>
      <c r="P274" s="38"/>
      <c r="Q274" s="38"/>
      <c r="R274" s="38"/>
      <c r="S274" s="38"/>
      <c r="T274" s="38"/>
      <c r="U274" s="38"/>
    </row>
    <row r="275" spans="1:21">
      <c r="A275" s="38"/>
      <c r="B275" s="38"/>
      <c r="C275" s="38"/>
      <c r="D275" s="38"/>
      <c r="E275" s="38"/>
      <c r="F275" s="38"/>
      <c r="G275" s="38"/>
      <c r="H275" s="38"/>
      <c r="I275" s="38"/>
      <c r="J275" s="38"/>
      <c r="K275" s="38"/>
      <c r="L275" s="38"/>
      <c r="M275" s="38"/>
      <c r="N275" s="38"/>
      <c r="O275" s="38"/>
      <c r="P275" s="38"/>
      <c r="Q275" s="38"/>
      <c r="R275" s="38"/>
      <c r="S275" s="38"/>
      <c r="T275" s="38"/>
      <c r="U275" s="38"/>
    </row>
    <row r="276" spans="1:21">
      <c r="A276" s="38"/>
      <c r="B276" s="38"/>
      <c r="C276" s="38"/>
      <c r="D276" s="38"/>
      <c r="E276" s="38"/>
      <c r="F276" s="38"/>
      <c r="G276" s="38"/>
      <c r="H276" s="38"/>
      <c r="I276" s="38"/>
      <c r="J276" s="38"/>
      <c r="K276" s="38"/>
      <c r="L276" s="38"/>
      <c r="M276" s="38"/>
      <c r="N276" s="38"/>
      <c r="O276" s="38"/>
      <c r="P276" s="38"/>
      <c r="Q276" s="38"/>
      <c r="R276" s="38"/>
      <c r="S276" s="38"/>
      <c r="T276" s="38"/>
      <c r="U276" s="38"/>
    </row>
    <row r="277" spans="1:21">
      <c r="A277" s="38"/>
      <c r="B277" s="38"/>
      <c r="C277" s="38"/>
      <c r="D277" s="38"/>
      <c r="E277" s="38"/>
      <c r="F277" s="38"/>
      <c r="G277" s="38"/>
      <c r="H277" s="38"/>
      <c r="I277" s="38"/>
      <c r="J277" s="38"/>
      <c r="K277" s="38"/>
      <c r="L277" s="38"/>
      <c r="M277" s="38"/>
      <c r="N277" s="38"/>
      <c r="O277" s="38"/>
      <c r="P277" s="38"/>
      <c r="Q277" s="38"/>
      <c r="R277" s="38"/>
      <c r="S277" s="38"/>
      <c r="T277" s="38"/>
      <c r="U277" s="38"/>
    </row>
    <row r="278" spans="1:21">
      <c r="A278" s="38"/>
      <c r="B278" s="38"/>
      <c r="C278" s="38"/>
      <c r="D278" s="38"/>
      <c r="E278" s="38"/>
      <c r="F278" s="38"/>
      <c r="G278" s="38"/>
      <c r="H278" s="38"/>
      <c r="I278" s="38"/>
      <c r="J278" s="38"/>
      <c r="K278" s="38"/>
      <c r="L278" s="38"/>
      <c r="M278" s="38"/>
      <c r="N278" s="38"/>
      <c r="O278" s="38"/>
      <c r="P278" s="38"/>
      <c r="Q278" s="38"/>
      <c r="R278" s="38"/>
      <c r="S278" s="38"/>
      <c r="T278" s="38"/>
      <c r="U278" s="38"/>
    </row>
    <row r="279" spans="1:21">
      <c r="A279" s="38"/>
      <c r="B279" s="38"/>
      <c r="C279" s="38"/>
      <c r="D279" s="38"/>
      <c r="E279" s="38"/>
      <c r="F279" s="38"/>
      <c r="G279" s="38"/>
      <c r="H279" s="38"/>
      <c r="I279" s="38"/>
      <c r="J279" s="38"/>
      <c r="K279" s="38"/>
      <c r="L279" s="38"/>
      <c r="M279" s="38"/>
      <c r="N279" s="38"/>
      <c r="O279" s="38"/>
      <c r="P279" s="38"/>
      <c r="Q279" s="38"/>
      <c r="R279" s="38"/>
      <c r="S279" s="38"/>
      <c r="T279" s="38"/>
      <c r="U279" s="38"/>
    </row>
    <row r="280" spans="1:21">
      <c r="A280" s="38"/>
      <c r="B280" s="38"/>
      <c r="C280" s="38"/>
      <c r="D280" s="38"/>
      <c r="E280" s="38"/>
      <c r="F280" s="38"/>
      <c r="G280" s="38"/>
      <c r="H280" s="38"/>
      <c r="I280" s="38"/>
      <c r="J280" s="38"/>
      <c r="K280" s="38"/>
      <c r="L280" s="38"/>
      <c r="M280" s="38"/>
      <c r="N280" s="38"/>
      <c r="O280" s="38"/>
      <c r="P280" s="38"/>
      <c r="Q280" s="38"/>
      <c r="R280" s="38"/>
      <c r="S280" s="38"/>
      <c r="T280" s="38"/>
      <c r="U280" s="38"/>
    </row>
    <row r="281" spans="1:21">
      <c r="A281" s="38"/>
      <c r="B281" s="38"/>
      <c r="C281" s="38"/>
      <c r="D281" s="38"/>
      <c r="E281" s="38"/>
      <c r="F281" s="38"/>
      <c r="G281" s="38"/>
      <c r="H281" s="38"/>
      <c r="I281" s="38"/>
      <c r="J281" s="38"/>
      <c r="K281" s="38"/>
      <c r="L281" s="38"/>
      <c r="M281" s="38"/>
      <c r="N281" s="38"/>
      <c r="O281" s="38"/>
      <c r="P281" s="38"/>
      <c r="Q281" s="38"/>
      <c r="R281" s="38"/>
      <c r="S281" s="38"/>
      <c r="T281" s="38"/>
      <c r="U281" s="38"/>
    </row>
    <row r="282" spans="1:21">
      <c r="A282" s="38"/>
      <c r="B282" s="38"/>
      <c r="C282" s="38"/>
      <c r="D282" s="38"/>
      <c r="E282" s="38"/>
      <c r="F282" s="38"/>
      <c r="G282" s="38"/>
      <c r="H282" s="38"/>
      <c r="I282" s="38"/>
      <c r="J282" s="38"/>
      <c r="K282" s="38"/>
      <c r="L282" s="38"/>
      <c r="M282" s="38"/>
      <c r="N282" s="38"/>
      <c r="O282" s="38"/>
      <c r="P282" s="38"/>
      <c r="Q282" s="38"/>
      <c r="R282" s="38"/>
      <c r="S282" s="38"/>
      <c r="T282" s="38"/>
      <c r="U282" s="38"/>
    </row>
    <row r="283" spans="1:21">
      <c r="A283" s="38"/>
      <c r="B283" s="38"/>
      <c r="C283" s="38"/>
      <c r="D283" s="38"/>
      <c r="E283" s="38"/>
      <c r="F283" s="38"/>
      <c r="G283" s="38"/>
      <c r="H283" s="38"/>
      <c r="I283" s="38"/>
      <c r="J283" s="38"/>
      <c r="K283" s="38"/>
      <c r="L283" s="38"/>
      <c r="M283" s="38"/>
      <c r="N283" s="38"/>
      <c r="O283" s="38"/>
      <c r="P283" s="38"/>
      <c r="Q283" s="38"/>
      <c r="R283" s="38"/>
      <c r="S283" s="38"/>
      <c r="T283" s="38"/>
      <c r="U283" s="38"/>
    </row>
    <row r="284" spans="1:21">
      <c r="A284" s="38"/>
      <c r="B284" s="38"/>
      <c r="C284" s="38"/>
      <c r="D284" s="38"/>
      <c r="E284" s="38"/>
      <c r="F284" s="38"/>
      <c r="G284" s="38"/>
      <c r="H284" s="38"/>
      <c r="I284" s="38"/>
      <c r="J284" s="38"/>
      <c r="K284" s="38"/>
      <c r="L284" s="38"/>
      <c r="M284" s="38"/>
      <c r="N284" s="38"/>
      <c r="O284" s="38"/>
      <c r="P284" s="38"/>
      <c r="Q284" s="38"/>
      <c r="R284" s="38"/>
      <c r="S284" s="38"/>
      <c r="T284" s="38"/>
      <c r="U284" s="38"/>
    </row>
    <row r="285" spans="1:21">
      <c r="A285" s="38"/>
      <c r="B285" s="38"/>
      <c r="C285" s="38"/>
      <c r="D285" s="38"/>
      <c r="E285" s="38"/>
      <c r="F285" s="38"/>
      <c r="G285" s="38"/>
      <c r="H285" s="38"/>
      <c r="I285" s="38"/>
      <c r="J285" s="38"/>
      <c r="K285" s="38"/>
      <c r="L285" s="38"/>
      <c r="M285" s="38"/>
      <c r="N285" s="38"/>
      <c r="O285" s="38"/>
      <c r="P285" s="38"/>
      <c r="Q285" s="38"/>
      <c r="R285" s="38"/>
      <c r="S285" s="38"/>
      <c r="T285" s="38"/>
      <c r="U285" s="38"/>
    </row>
    <row r="286" spans="1:21">
      <c r="A286" s="38"/>
      <c r="B286" s="38"/>
      <c r="C286" s="38"/>
      <c r="D286" s="38"/>
      <c r="E286" s="38"/>
      <c r="F286" s="38"/>
      <c r="G286" s="38"/>
      <c r="H286" s="38"/>
      <c r="I286" s="38"/>
      <c r="J286" s="38"/>
      <c r="K286" s="38"/>
      <c r="L286" s="38"/>
      <c r="M286" s="38"/>
      <c r="N286" s="38"/>
      <c r="O286" s="38"/>
      <c r="P286" s="38"/>
      <c r="Q286" s="38"/>
      <c r="R286" s="38"/>
      <c r="S286" s="38"/>
      <c r="T286" s="38"/>
      <c r="U286" s="38"/>
    </row>
    <row r="287" spans="1:21">
      <c r="A287" s="38"/>
      <c r="B287" s="38"/>
      <c r="C287" s="38"/>
      <c r="D287" s="38"/>
      <c r="E287" s="38"/>
      <c r="F287" s="38"/>
      <c r="G287" s="38"/>
      <c r="H287" s="38"/>
      <c r="I287" s="38"/>
      <c r="J287" s="38"/>
      <c r="K287" s="38"/>
      <c r="L287" s="38"/>
      <c r="M287" s="38"/>
      <c r="N287" s="38"/>
      <c r="O287" s="38"/>
      <c r="P287" s="38"/>
      <c r="Q287" s="38"/>
      <c r="R287" s="38"/>
      <c r="S287" s="38"/>
      <c r="T287" s="38"/>
      <c r="U287" s="38"/>
    </row>
    <row r="288" spans="1:21">
      <c r="A288" s="38"/>
      <c r="B288" s="38"/>
      <c r="C288" s="38"/>
      <c r="D288" s="38"/>
      <c r="E288" s="38"/>
      <c r="F288" s="38"/>
      <c r="G288" s="38"/>
      <c r="H288" s="38"/>
      <c r="I288" s="38"/>
      <c r="J288" s="38"/>
      <c r="K288" s="38"/>
      <c r="L288" s="38"/>
      <c r="M288" s="38"/>
      <c r="N288" s="38"/>
      <c r="O288" s="38"/>
      <c r="P288" s="38"/>
      <c r="Q288" s="38"/>
      <c r="R288" s="38"/>
      <c r="S288" s="38"/>
      <c r="T288" s="38"/>
      <c r="U288" s="38"/>
    </row>
    <row r="289" spans="1:21">
      <c r="A289" s="38"/>
      <c r="B289" s="38"/>
      <c r="C289" s="38"/>
      <c r="D289" s="38"/>
      <c r="E289" s="38"/>
      <c r="F289" s="38"/>
      <c r="G289" s="38"/>
      <c r="H289" s="38"/>
      <c r="I289" s="38"/>
      <c r="J289" s="38"/>
      <c r="K289" s="38"/>
      <c r="L289" s="38"/>
      <c r="M289" s="38"/>
      <c r="N289" s="38"/>
      <c r="O289" s="38"/>
      <c r="P289" s="38"/>
      <c r="Q289" s="38"/>
      <c r="R289" s="38"/>
      <c r="S289" s="38"/>
      <c r="T289" s="38"/>
      <c r="U289" s="38"/>
    </row>
    <row r="290" spans="1:21">
      <c r="A290" s="38"/>
      <c r="B290" s="38"/>
      <c r="C290" s="38"/>
      <c r="D290" s="38"/>
      <c r="E290" s="38"/>
      <c r="F290" s="38"/>
      <c r="G290" s="38"/>
      <c r="H290" s="38"/>
      <c r="I290" s="38"/>
      <c r="J290" s="38"/>
      <c r="K290" s="38"/>
      <c r="L290" s="38"/>
      <c r="M290" s="38"/>
      <c r="N290" s="38"/>
      <c r="O290" s="38"/>
      <c r="P290" s="38"/>
      <c r="Q290" s="38"/>
      <c r="R290" s="38"/>
      <c r="S290" s="38"/>
      <c r="T290" s="38"/>
      <c r="U290" s="38"/>
    </row>
    <row r="291" spans="1:21">
      <c r="A291" s="38"/>
      <c r="B291" s="38"/>
      <c r="C291" s="38"/>
      <c r="D291" s="38"/>
      <c r="E291" s="38"/>
      <c r="F291" s="38"/>
      <c r="G291" s="38"/>
      <c r="H291" s="38"/>
      <c r="I291" s="38"/>
      <c r="J291" s="38"/>
      <c r="K291" s="38"/>
      <c r="L291" s="38"/>
      <c r="M291" s="38"/>
      <c r="N291" s="38"/>
      <c r="O291" s="38"/>
      <c r="P291" s="38"/>
      <c r="Q291" s="38"/>
      <c r="R291" s="38"/>
      <c r="S291" s="38"/>
      <c r="T291" s="38"/>
      <c r="U291" s="38"/>
    </row>
    <row r="292" spans="1:21">
      <c r="A292" s="38"/>
      <c r="B292" s="38"/>
      <c r="C292" s="38"/>
      <c r="D292" s="38"/>
      <c r="E292" s="38"/>
      <c r="F292" s="38"/>
      <c r="G292" s="38"/>
      <c r="H292" s="38"/>
      <c r="I292" s="38"/>
      <c r="J292" s="38"/>
      <c r="K292" s="38"/>
      <c r="L292" s="38"/>
      <c r="M292" s="38"/>
      <c r="N292" s="38"/>
      <c r="O292" s="38"/>
      <c r="P292" s="38"/>
      <c r="Q292" s="38"/>
      <c r="R292" s="38"/>
      <c r="S292" s="38"/>
      <c r="T292" s="38"/>
      <c r="U292" s="38"/>
    </row>
    <row r="293" spans="1:21">
      <c r="A293" s="38"/>
      <c r="B293" s="38"/>
      <c r="C293" s="38"/>
      <c r="D293" s="38"/>
      <c r="E293" s="38"/>
      <c r="F293" s="38"/>
      <c r="G293" s="38"/>
      <c r="H293" s="38"/>
      <c r="I293" s="38"/>
      <c r="J293" s="38"/>
      <c r="K293" s="38"/>
      <c r="L293" s="38"/>
      <c r="M293" s="38"/>
      <c r="N293" s="38"/>
      <c r="O293" s="38"/>
      <c r="P293" s="38"/>
      <c r="Q293" s="38"/>
      <c r="R293" s="38"/>
      <c r="S293" s="38"/>
      <c r="T293" s="38"/>
      <c r="U293" s="38"/>
    </row>
    <row r="294" spans="1:21">
      <c r="A294" s="38"/>
      <c r="B294" s="38"/>
      <c r="C294" s="38"/>
      <c r="D294" s="38"/>
      <c r="E294" s="38"/>
      <c r="F294" s="38"/>
      <c r="G294" s="38"/>
      <c r="H294" s="38"/>
      <c r="I294" s="38"/>
      <c r="J294" s="38"/>
      <c r="K294" s="38"/>
      <c r="L294" s="38"/>
      <c r="M294" s="38"/>
      <c r="N294" s="38"/>
      <c r="O294" s="38"/>
      <c r="P294" s="38"/>
      <c r="Q294" s="38"/>
      <c r="R294" s="38"/>
      <c r="S294" s="38"/>
      <c r="T294" s="38"/>
      <c r="U294" s="38"/>
    </row>
    <row r="295" spans="1:21">
      <c r="A295" s="38"/>
      <c r="B295" s="38"/>
      <c r="C295" s="38"/>
      <c r="D295" s="38"/>
      <c r="E295" s="38"/>
      <c r="F295" s="38"/>
      <c r="G295" s="38"/>
      <c r="H295" s="38"/>
      <c r="I295" s="38"/>
      <c r="J295" s="38"/>
      <c r="K295" s="38"/>
      <c r="L295" s="38"/>
      <c r="M295" s="38"/>
      <c r="N295" s="38"/>
      <c r="O295" s="38"/>
      <c r="P295" s="38"/>
      <c r="Q295" s="38"/>
      <c r="R295" s="38"/>
      <c r="S295" s="38"/>
      <c r="T295" s="38"/>
      <c r="U295" s="38"/>
    </row>
    <row r="296" spans="1:21">
      <c r="A296" s="38"/>
      <c r="B296" s="38"/>
      <c r="C296" s="38"/>
      <c r="D296" s="38"/>
      <c r="E296" s="38"/>
      <c r="F296" s="38"/>
      <c r="G296" s="38"/>
      <c r="H296" s="38"/>
      <c r="I296" s="38"/>
      <c r="J296" s="38"/>
      <c r="K296" s="38"/>
      <c r="L296" s="38"/>
      <c r="M296" s="38"/>
      <c r="N296" s="38"/>
      <c r="O296" s="38"/>
      <c r="P296" s="38"/>
      <c r="Q296" s="38"/>
      <c r="R296" s="38"/>
      <c r="S296" s="38"/>
      <c r="T296" s="38"/>
      <c r="U296" s="38"/>
    </row>
    <row r="297" spans="1:21">
      <c r="A297" s="38"/>
      <c r="B297" s="38"/>
      <c r="C297" s="38"/>
      <c r="D297" s="38"/>
      <c r="E297" s="38"/>
      <c r="F297" s="38"/>
      <c r="G297" s="38"/>
      <c r="H297" s="38"/>
      <c r="I297" s="38"/>
      <c r="J297" s="38"/>
      <c r="K297" s="38"/>
      <c r="L297" s="38"/>
      <c r="M297" s="38"/>
      <c r="N297" s="38"/>
      <c r="O297" s="38"/>
      <c r="P297" s="38"/>
      <c r="Q297" s="38"/>
      <c r="R297" s="38"/>
      <c r="S297" s="38"/>
      <c r="T297" s="38"/>
      <c r="U297" s="38"/>
    </row>
    <row r="298" spans="1:21">
      <c r="A298" s="38"/>
      <c r="B298" s="38"/>
      <c r="C298" s="38"/>
      <c r="D298" s="38"/>
      <c r="E298" s="38"/>
      <c r="F298" s="38"/>
      <c r="G298" s="38"/>
      <c r="H298" s="38"/>
      <c r="I298" s="38"/>
      <c r="J298" s="38"/>
      <c r="K298" s="38"/>
      <c r="L298" s="38"/>
      <c r="M298" s="38"/>
      <c r="N298" s="38"/>
      <c r="O298" s="38"/>
      <c r="P298" s="38"/>
      <c r="Q298" s="38"/>
      <c r="R298" s="38"/>
      <c r="S298" s="38"/>
      <c r="T298" s="38"/>
      <c r="U298" s="38"/>
    </row>
    <row r="299" spans="1:21">
      <c r="A299" s="38"/>
      <c r="B299" s="38"/>
      <c r="C299" s="38"/>
      <c r="D299" s="38"/>
      <c r="E299" s="38"/>
      <c r="F299" s="38"/>
      <c r="G299" s="38"/>
      <c r="H299" s="38"/>
      <c r="I299" s="38"/>
      <c r="J299" s="38"/>
      <c r="K299" s="38"/>
      <c r="L299" s="38"/>
      <c r="M299" s="38"/>
      <c r="N299" s="38"/>
      <c r="O299" s="38"/>
      <c r="P299" s="38"/>
      <c r="Q299" s="38"/>
      <c r="R299" s="38"/>
      <c r="S299" s="38"/>
      <c r="T299" s="38"/>
      <c r="U299" s="38"/>
    </row>
    <row r="300" spans="1:21">
      <c r="A300" s="38"/>
      <c r="B300" s="38"/>
      <c r="C300" s="38"/>
      <c r="D300" s="38"/>
      <c r="E300" s="38"/>
      <c r="F300" s="38"/>
      <c r="G300" s="38"/>
      <c r="H300" s="38"/>
      <c r="I300" s="38"/>
      <c r="J300" s="38"/>
      <c r="K300" s="38"/>
      <c r="L300" s="38"/>
      <c r="M300" s="38"/>
      <c r="N300" s="38"/>
      <c r="O300" s="38"/>
      <c r="P300" s="38"/>
      <c r="Q300" s="38"/>
      <c r="R300" s="38"/>
      <c r="S300" s="38"/>
      <c r="T300" s="38"/>
      <c r="U300" s="38"/>
    </row>
    <row r="301" spans="1:21">
      <c r="A301" s="38"/>
      <c r="B301" s="38"/>
      <c r="C301" s="38"/>
      <c r="D301" s="38"/>
      <c r="E301" s="38"/>
      <c r="F301" s="38"/>
      <c r="G301" s="38"/>
      <c r="H301" s="38"/>
      <c r="I301" s="38"/>
      <c r="J301" s="38"/>
      <c r="K301" s="38"/>
      <c r="L301" s="38"/>
      <c r="M301" s="38"/>
      <c r="N301" s="38"/>
      <c r="O301" s="38"/>
      <c r="P301" s="38"/>
      <c r="Q301" s="38"/>
      <c r="R301" s="38"/>
      <c r="S301" s="38"/>
      <c r="T301" s="38"/>
      <c r="U301" s="38"/>
    </row>
    <row r="302" spans="1:21">
      <c r="A302" s="38"/>
      <c r="B302" s="38"/>
      <c r="C302" s="38"/>
      <c r="D302" s="38"/>
      <c r="E302" s="38"/>
      <c r="F302" s="38"/>
      <c r="G302" s="38"/>
      <c r="H302" s="38"/>
      <c r="I302" s="38"/>
      <c r="J302" s="38"/>
      <c r="K302" s="38"/>
      <c r="L302" s="38"/>
      <c r="M302" s="38"/>
      <c r="N302" s="38"/>
      <c r="O302" s="38"/>
      <c r="P302" s="38"/>
      <c r="Q302" s="38"/>
      <c r="R302" s="38"/>
      <c r="S302" s="38"/>
      <c r="T302" s="38"/>
      <c r="U302" s="38"/>
    </row>
    <row r="303" spans="1:21">
      <c r="A303" s="38"/>
      <c r="B303" s="38"/>
      <c r="C303" s="38"/>
      <c r="D303" s="38"/>
      <c r="E303" s="38"/>
      <c r="F303" s="38"/>
      <c r="G303" s="38"/>
      <c r="H303" s="38"/>
      <c r="I303" s="38"/>
      <c r="J303" s="38"/>
      <c r="K303" s="38"/>
      <c r="L303" s="38"/>
      <c r="M303" s="38"/>
      <c r="N303" s="38"/>
      <c r="O303" s="38"/>
      <c r="P303" s="38"/>
      <c r="Q303" s="38"/>
      <c r="R303" s="38"/>
      <c r="S303" s="38"/>
      <c r="T303" s="38"/>
      <c r="U303" s="38"/>
    </row>
    <row r="304" spans="1:21">
      <c r="A304" s="38"/>
      <c r="B304" s="38"/>
      <c r="C304" s="38"/>
      <c r="D304" s="38"/>
      <c r="E304" s="38"/>
      <c r="F304" s="38"/>
      <c r="G304" s="38"/>
      <c r="H304" s="38"/>
      <c r="I304" s="38"/>
      <c r="J304" s="38"/>
      <c r="K304" s="38"/>
      <c r="L304" s="38"/>
      <c r="M304" s="38"/>
      <c r="N304" s="38"/>
      <c r="O304" s="38"/>
      <c r="P304" s="38"/>
      <c r="Q304" s="38"/>
      <c r="R304" s="38"/>
      <c r="S304" s="38"/>
      <c r="T304" s="38"/>
      <c r="U304" s="38"/>
    </row>
    <row r="305" spans="1:21">
      <c r="A305" s="38"/>
      <c r="B305" s="38"/>
      <c r="C305" s="38"/>
      <c r="D305" s="38"/>
      <c r="E305" s="38"/>
      <c r="F305" s="38"/>
      <c r="G305" s="38"/>
      <c r="H305" s="38"/>
      <c r="I305" s="38"/>
      <c r="J305" s="38"/>
      <c r="K305" s="38"/>
      <c r="L305" s="38"/>
      <c r="M305" s="38"/>
      <c r="N305" s="38"/>
      <c r="O305" s="38"/>
      <c r="P305" s="38"/>
      <c r="Q305" s="38"/>
      <c r="R305" s="38"/>
      <c r="S305" s="38"/>
      <c r="T305" s="38"/>
      <c r="U305" s="38"/>
    </row>
    <row r="306" spans="1:21">
      <c r="A306" s="38"/>
      <c r="B306" s="38"/>
      <c r="C306" s="38"/>
      <c r="D306" s="38"/>
      <c r="E306" s="38"/>
      <c r="F306" s="38"/>
      <c r="G306" s="38"/>
      <c r="H306" s="38"/>
      <c r="I306" s="38"/>
      <c r="J306" s="38"/>
      <c r="K306" s="38"/>
      <c r="L306" s="38"/>
      <c r="M306" s="38"/>
      <c r="N306" s="38"/>
      <c r="O306" s="38"/>
      <c r="P306" s="38"/>
      <c r="Q306" s="38"/>
      <c r="R306" s="38"/>
      <c r="S306" s="38"/>
      <c r="T306" s="38"/>
      <c r="U306" s="38"/>
    </row>
    <row r="307" spans="1:21">
      <c r="A307" s="38"/>
      <c r="B307" s="38"/>
      <c r="C307" s="38"/>
      <c r="D307" s="38"/>
      <c r="E307" s="38"/>
      <c r="F307" s="38"/>
      <c r="G307" s="38"/>
      <c r="H307" s="38"/>
      <c r="I307" s="38"/>
      <c r="J307" s="38"/>
      <c r="K307" s="38"/>
      <c r="L307" s="38"/>
      <c r="M307" s="38"/>
      <c r="N307" s="38"/>
      <c r="O307" s="38"/>
      <c r="P307" s="38"/>
      <c r="Q307" s="38"/>
      <c r="R307" s="38"/>
      <c r="S307" s="38"/>
      <c r="T307" s="38"/>
      <c r="U307" s="38"/>
    </row>
    <row r="308" spans="1:21">
      <c r="A308" s="38"/>
      <c r="B308" s="38"/>
      <c r="C308" s="38"/>
      <c r="D308" s="38"/>
      <c r="E308" s="38"/>
      <c r="F308" s="38"/>
      <c r="G308" s="38"/>
      <c r="H308" s="38"/>
      <c r="I308" s="38"/>
      <c r="J308" s="38"/>
      <c r="K308" s="38"/>
      <c r="L308" s="38"/>
      <c r="M308" s="38"/>
      <c r="N308" s="38"/>
      <c r="O308" s="38"/>
      <c r="P308" s="38"/>
      <c r="Q308" s="38"/>
      <c r="R308" s="38"/>
      <c r="S308" s="38"/>
      <c r="T308" s="38"/>
      <c r="U308" s="38"/>
    </row>
    <row r="309" spans="1:21">
      <c r="A309" s="38"/>
      <c r="B309" s="38"/>
      <c r="C309" s="38"/>
      <c r="D309" s="38"/>
      <c r="E309" s="38"/>
      <c r="F309" s="38"/>
      <c r="G309" s="38"/>
      <c r="H309" s="38"/>
      <c r="I309" s="38"/>
      <c r="J309" s="38"/>
      <c r="K309" s="38"/>
      <c r="L309" s="38"/>
      <c r="M309" s="38"/>
      <c r="N309" s="38"/>
      <c r="O309" s="38"/>
      <c r="P309" s="38"/>
      <c r="Q309" s="38"/>
      <c r="R309" s="38"/>
      <c r="S309" s="38"/>
      <c r="T309" s="38"/>
      <c r="U309" s="38"/>
    </row>
    <row r="310" spans="1:21">
      <c r="A310" s="38"/>
      <c r="B310" s="38"/>
      <c r="C310" s="38"/>
      <c r="D310" s="38"/>
      <c r="E310" s="38"/>
      <c r="F310" s="38"/>
      <c r="G310" s="38"/>
      <c r="H310" s="38"/>
      <c r="I310" s="38"/>
      <c r="J310" s="38"/>
      <c r="K310" s="38"/>
      <c r="L310" s="38"/>
      <c r="M310" s="38"/>
      <c r="N310" s="38"/>
      <c r="O310" s="38"/>
      <c r="P310" s="38"/>
      <c r="Q310" s="38"/>
      <c r="R310" s="38"/>
      <c r="S310" s="38"/>
      <c r="T310" s="38"/>
      <c r="U310" s="38"/>
    </row>
    <row r="311" spans="1:21">
      <c r="A311" s="38"/>
      <c r="B311" s="38"/>
      <c r="C311" s="38"/>
      <c r="D311" s="38"/>
      <c r="E311" s="38"/>
      <c r="F311" s="38"/>
      <c r="G311" s="38"/>
      <c r="H311" s="38"/>
      <c r="I311" s="38"/>
      <c r="J311" s="38"/>
      <c r="K311" s="38"/>
      <c r="L311" s="38"/>
      <c r="M311" s="38"/>
      <c r="N311" s="38"/>
      <c r="O311" s="38"/>
      <c r="P311" s="38"/>
      <c r="Q311" s="38"/>
      <c r="R311" s="38"/>
      <c r="S311" s="38"/>
      <c r="T311" s="38"/>
      <c r="U311" s="38"/>
    </row>
    <row r="312" spans="1:21">
      <c r="A312" s="38"/>
      <c r="B312" s="38"/>
      <c r="C312" s="38"/>
      <c r="D312" s="38"/>
      <c r="E312" s="38"/>
      <c r="F312" s="38"/>
      <c r="G312" s="38"/>
      <c r="H312" s="38"/>
      <c r="I312" s="38"/>
      <c r="J312" s="38"/>
      <c r="K312" s="38"/>
      <c r="L312" s="38"/>
      <c r="M312" s="38"/>
      <c r="N312" s="38"/>
      <c r="O312" s="38"/>
      <c r="P312" s="38"/>
      <c r="Q312" s="38"/>
      <c r="R312" s="38"/>
      <c r="S312" s="38"/>
      <c r="T312" s="38"/>
      <c r="U312" s="38"/>
    </row>
    <row r="313" spans="1:21">
      <c r="A313" s="38"/>
      <c r="B313" s="38"/>
      <c r="C313" s="38"/>
      <c r="D313" s="38"/>
      <c r="E313" s="38"/>
      <c r="F313" s="38"/>
      <c r="G313" s="38"/>
      <c r="H313" s="38"/>
      <c r="I313" s="38"/>
      <c r="J313" s="38"/>
      <c r="K313" s="38"/>
      <c r="L313" s="38"/>
      <c r="M313" s="38"/>
      <c r="N313" s="38"/>
      <c r="O313" s="38"/>
      <c r="P313" s="38"/>
      <c r="Q313" s="38"/>
      <c r="R313" s="38"/>
      <c r="S313" s="38"/>
      <c r="T313" s="38"/>
      <c r="U313" s="38"/>
    </row>
    <row r="314" spans="1:21">
      <c r="A314" s="38"/>
      <c r="B314" s="38"/>
      <c r="C314" s="38"/>
      <c r="D314" s="38"/>
      <c r="E314" s="38"/>
      <c r="F314" s="38"/>
      <c r="G314" s="38"/>
      <c r="H314" s="38"/>
      <c r="I314" s="38"/>
      <c r="J314" s="38"/>
      <c r="K314" s="38"/>
      <c r="L314" s="38"/>
      <c r="M314" s="38"/>
      <c r="N314" s="38"/>
      <c r="O314" s="38"/>
      <c r="P314" s="38"/>
      <c r="Q314" s="38"/>
      <c r="R314" s="38"/>
      <c r="S314" s="38"/>
      <c r="T314" s="38"/>
      <c r="U314" s="38"/>
    </row>
    <row r="315" spans="1:21">
      <c r="A315" s="38"/>
      <c r="B315" s="38"/>
      <c r="C315" s="38"/>
      <c r="D315" s="38"/>
      <c r="E315" s="38"/>
      <c r="F315" s="38"/>
      <c r="G315" s="38"/>
      <c r="H315" s="38"/>
      <c r="I315" s="38"/>
      <c r="J315" s="38"/>
      <c r="K315" s="38"/>
      <c r="L315" s="38"/>
      <c r="M315" s="38"/>
      <c r="N315" s="38"/>
      <c r="O315" s="38"/>
      <c r="P315" s="38"/>
      <c r="Q315" s="38"/>
      <c r="R315" s="38"/>
      <c r="S315" s="38"/>
      <c r="T315" s="38"/>
      <c r="U315" s="38"/>
    </row>
    <row r="316" spans="1:21">
      <c r="A316" s="38"/>
      <c r="B316" s="38"/>
      <c r="C316" s="38"/>
      <c r="D316" s="38"/>
      <c r="E316" s="38"/>
      <c r="F316" s="38"/>
      <c r="G316" s="38"/>
      <c r="H316" s="38"/>
      <c r="I316" s="38"/>
      <c r="J316" s="38"/>
      <c r="K316" s="38"/>
      <c r="L316" s="38"/>
      <c r="M316" s="38"/>
      <c r="N316" s="38"/>
      <c r="O316" s="38"/>
      <c r="P316" s="38"/>
      <c r="Q316" s="38"/>
      <c r="R316" s="38"/>
      <c r="S316" s="38"/>
      <c r="T316" s="38"/>
      <c r="U316" s="38"/>
    </row>
    <row r="317" spans="1:21">
      <c r="A317" s="38"/>
      <c r="B317" s="38"/>
      <c r="C317" s="38"/>
      <c r="D317" s="38"/>
      <c r="E317" s="38"/>
      <c r="F317" s="38"/>
      <c r="G317" s="38"/>
      <c r="H317" s="38"/>
      <c r="I317" s="38"/>
      <c r="J317" s="38"/>
      <c r="K317" s="38"/>
      <c r="L317" s="38"/>
      <c r="M317" s="38"/>
      <c r="N317" s="38"/>
      <c r="O317" s="38"/>
      <c r="P317" s="38"/>
      <c r="Q317" s="38"/>
      <c r="R317" s="38"/>
      <c r="S317" s="38"/>
      <c r="T317" s="38"/>
      <c r="U317" s="38"/>
    </row>
    <row r="318" spans="1:21">
      <c r="A318" s="38"/>
      <c r="B318" s="38"/>
      <c r="C318" s="38"/>
      <c r="D318" s="38"/>
      <c r="E318" s="38"/>
      <c r="F318" s="38"/>
      <c r="G318" s="38"/>
      <c r="H318" s="38"/>
      <c r="I318" s="38"/>
      <c r="J318" s="38"/>
      <c r="K318" s="38"/>
      <c r="L318" s="38"/>
      <c r="M318" s="38"/>
      <c r="N318" s="38"/>
      <c r="O318" s="38"/>
      <c r="P318" s="38"/>
      <c r="Q318" s="38"/>
      <c r="R318" s="38"/>
      <c r="S318" s="38"/>
      <c r="T318" s="38"/>
      <c r="U318" s="38"/>
    </row>
    <row r="319" spans="1:21">
      <c r="A319" s="38"/>
      <c r="B319" s="38"/>
      <c r="C319" s="38"/>
      <c r="D319" s="38"/>
      <c r="E319" s="38"/>
      <c r="F319" s="38"/>
      <c r="G319" s="38"/>
      <c r="H319" s="38"/>
      <c r="I319" s="38"/>
      <c r="J319" s="38"/>
      <c r="K319" s="38"/>
      <c r="L319" s="38"/>
      <c r="M319" s="38"/>
      <c r="N319" s="38"/>
      <c r="O319" s="38"/>
      <c r="P319" s="38"/>
      <c r="Q319" s="38"/>
      <c r="R319" s="38"/>
      <c r="S319" s="38"/>
      <c r="T319" s="38"/>
      <c r="U319" s="38"/>
    </row>
    <row r="320" spans="1:21">
      <c r="A320" s="38"/>
      <c r="B320" s="38"/>
      <c r="C320" s="38"/>
      <c r="D320" s="38"/>
      <c r="E320" s="38"/>
      <c r="F320" s="38"/>
      <c r="G320" s="38"/>
      <c r="H320" s="38"/>
      <c r="I320" s="38"/>
      <c r="J320" s="38"/>
      <c r="K320" s="38"/>
      <c r="L320" s="38"/>
      <c r="M320" s="38"/>
      <c r="N320" s="38"/>
      <c r="O320" s="38"/>
      <c r="P320" s="38"/>
      <c r="Q320" s="38"/>
      <c r="R320" s="38"/>
      <c r="S320" s="38"/>
      <c r="T320" s="38"/>
      <c r="U320" s="38"/>
    </row>
    <row r="321" spans="1:21">
      <c r="A321" s="38"/>
      <c r="B321" s="38"/>
      <c r="C321" s="38"/>
      <c r="D321" s="38"/>
      <c r="E321" s="38"/>
      <c r="F321" s="38"/>
      <c r="G321" s="38"/>
      <c r="H321" s="38"/>
      <c r="I321" s="38"/>
      <c r="J321" s="38"/>
      <c r="K321" s="38"/>
      <c r="L321" s="38"/>
      <c r="M321" s="38"/>
      <c r="N321" s="38"/>
      <c r="O321" s="38"/>
      <c r="P321" s="38"/>
      <c r="Q321" s="38"/>
      <c r="R321" s="38"/>
      <c r="S321" s="38"/>
      <c r="T321" s="38"/>
      <c r="U321" s="38"/>
    </row>
    <row r="322" spans="1:21">
      <c r="A322" s="38"/>
      <c r="B322" s="38"/>
      <c r="C322" s="38"/>
      <c r="D322" s="38"/>
      <c r="E322" s="38"/>
      <c r="F322" s="38"/>
      <c r="G322" s="38"/>
      <c r="H322" s="38"/>
      <c r="I322" s="38"/>
      <c r="J322" s="38"/>
      <c r="K322" s="38"/>
      <c r="L322" s="38"/>
      <c r="M322" s="38"/>
      <c r="N322" s="38"/>
      <c r="O322" s="38"/>
      <c r="P322" s="38"/>
      <c r="Q322" s="38"/>
      <c r="R322" s="38"/>
      <c r="S322" s="38"/>
      <c r="T322" s="38"/>
      <c r="U322" s="38"/>
    </row>
    <row r="323" spans="1:21">
      <c r="A323" s="38"/>
      <c r="B323" s="38"/>
      <c r="C323" s="38"/>
      <c r="D323" s="38"/>
      <c r="E323" s="38"/>
      <c r="F323" s="38"/>
      <c r="G323" s="38"/>
      <c r="H323" s="38"/>
      <c r="I323" s="38"/>
      <c r="J323" s="38"/>
      <c r="K323" s="38"/>
      <c r="L323" s="38"/>
      <c r="M323" s="38"/>
      <c r="N323" s="38"/>
      <c r="O323" s="38"/>
      <c r="P323" s="38"/>
      <c r="Q323" s="38"/>
      <c r="R323" s="38"/>
      <c r="S323" s="38"/>
      <c r="T323" s="38"/>
      <c r="U323" s="38"/>
    </row>
    <row r="324" spans="1:21">
      <c r="A324" s="38"/>
      <c r="B324" s="38"/>
      <c r="C324" s="38"/>
      <c r="D324" s="38"/>
      <c r="E324" s="38"/>
      <c r="F324" s="38"/>
      <c r="G324" s="38"/>
      <c r="H324" s="38"/>
      <c r="I324" s="38"/>
      <c r="J324" s="38"/>
      <c r="K324" s="38"/>
      <c r="L324" s="38"/>
      <c r="M324" s="38"/>
      <c r="N324" s="38"/>
      <c r="O324" s="38"/>
      <c r="P324" s="38"/>
      <c r="Q324" s="38"/>
      <c r="R324" s="38"/>
      <c r="S324" s="38"/>
      <c r="T324" s="38"/>
      <c r="U324" s="38"/>
    </row>
    <row r="325" spans="1:21">
      <c r="A325" s="38"/>
      <c r="B325" s="38"/>
      <c r="C325" s="38"/>
      <c r="D325" s="38"/>
      <c r="E325" s="38"/>
      <c r="F325" s="38"/>
      <c r="G325" s="38"/>
      <c r="H325" s="38"/>
      <c r="I325" s="38"/>
      <c r="J325" s="38"/>
      <c r="K325" s="38"/>
      <c r="L325" s="38"/>
      <c r="M325" s="38"/>
      <c r="N325" s="38"/>
      <c r="O325" s="38"/>
      <c r="P325" s="38"/>
      <c r="Q325" s="38"/>
      <c r="R325" s="38"/>
      <c r="S325" s="38"/>
      <c r="T325" s="38"/>
      <c r="U325" s="38"/>
    </row>
    <row r="326" spans="1:21">
      <c r="A326" s="38"/>
      <c r="B326" s="38"/>
      <c r="C326" s="38"/>
      <c r="D326" s="38"/>
      <c r="E326" s="38"/>
      <c r="F326" s="38"/>
      <c r="G326" s="38"/>
      <c r="H326" s="38"/>
      <c r="I326" s="38"/>
      <c r="J326" s="38"/>
      <c r="K326" s="38"/>
      <c r="L326" s="38"/>
      <c r="M326" s="38"/>
      <c r="N326" s="38"/>
      <c r="O326" s="38"/>
      <c r="P326" s="38"/>
      <c r="Q326" s="38"/>
      <c r="R326" s="38"/>
      <c r="S326" s="38"/>
      <c r="T326" s="38"/>
      <c r="U326" s="38"/>
    </row>
    <row r="327" spans="1:21">
      <c r="A327" s="38"/>
      <c r="B327" s="38"/>
      <c r="C327" s="38"/>
      <c r="D327" s="38"/>
      <c r="E327" s="38"/>
      <c r="F327" s="38"/>
      <c r="G327" s="38"/>
      <c r="H327" s="38"/>
      <c r="I327" s="38"/>
      <c r="J327" s="38"/>
      <c r="K327" s="38"/>
      <c r="L327" s="38"/>
      <c r="M327" s="38"/>
      <c r="N327" s="38"/>
      <c r="O327" s="38"/>
      <c r="P327" s="38"/>
      <c r="Q327" s="38"/>
      <c r="R327" s="38"/>
      <c r="S327" s="38"/>
      <c r="T327" s="38"/>
      <c r="U327" s="38"/>
    </row>
    <row r="328" spans="1:21">
      <c r="A328" s="38"/>
      <c r="B328" s="38"/>
      <c r="C328" s="38"/>
      <c r="D328" s="38"/>
      <c r="E328" s="38"/>
      <c r="F328" s="38"/>
      <c r="G328" s="38"/>
      <c r="H328" s="38"/>
      <c r="I328" s="38"/>
      <c r="J328" s="38"/>
      <c r="K328" s="38"/>
      <c r="L328" s="38"/>
      <c r="M328" s="38"/>
      <c r="N328" s="38"/>
      <c r="O328" s="38"/>
      <c r="P328" s="38"/>
      <c r="Q328" s="38"/>
      <c r="R328" s="38"/>
      <c r="S328" s="38"/>
      <c r="T328" s="38"/>
      <c r="U328" s="38"/>
    </row>
    <row r="329" spans="1:21">
      <c r="A329" s="38"/>
      <c r="B329" s="38"/>
      <c r="C329" s="38"/>
      <c r="D329" s="38"/>
      <c r="E329" s="38"/>
      <c r="F329" s="38"/>
      <c r="G329" s="38"/>
      <c r="H329" s="38"/>
      <c r="I329" s="38"/>
      <c r="J329" s="38"/>
      <c r="K329" s="38"/>
      <c r="L329" s="38"/>
      <c r="M329" s="38"/>
      <c r="N329" s="38"/>
      <c r="O329" s="38"/>
      <c r="P329" s="38"/>
      <c r="Q329" s="38"/>
      <c r="R329" s="38"/>
      <c r="S329" s="38"/>
      <c r="T329" s="38"/>
      <c r="U329" s="38"/>
    </row>
    <row r="330" spans="1:21">
      <c r="A330" s="38"/>
      <c r="B330" s="38"/>
      <c r="C330" s="38"/>
      <c r="D330" s="38"/>
      <c r="E330" s="38"/>
      <c r="F330" s="38"/>
      <c r="G330" s="38"/>
      <c r="H330" s="38"/>
      <c r="I330" s="38"/>
      <c r="J330" s="38"/>
      <c r="K330" s="38"/>
      <c r="L330" s="38"/>
      <c r="M330" s="38"/>
      <c r="N330" s="38"/>
      <c r="O330" s="38"/>
      <c r="P330" s="38"/>
      <c r="Q330" s="38"/>
      <c r="R330" s="38"/>
      <c r="S330" s="38"/>
      <c r="T330" s="38"/>
      <c r="U330" s="38"/>
    </row>
    <row r="331" spans="1:21">
      <c r="A331" s="38"/>
      <c r="B331" s="38"/>
      <c r="C331" s="38"/>
      <c r="D331" s="38"/>
      <c r="E331" s="38"/>
      <c r="F331" s="38"/>
      <c r="G331" s="38"/>
      <c r="H331" s="38"/>
      <c r="I331" s="38"/>
      <c r="J331" s="38"/>
      <c r="K331" s="38"/>
      <c r="L331" s="38"/>
      <c r="M331" s="38"/>
      <c r="N331" s="38"/>
      <c r="O331" s="38"/>
      <c r="P331" s="38"/>
      <c r="Q331" s="38"/>
      <c r="R331" s="38"/>
      <c r="S331" s="38"/>
      <c r="T331" s="38"/>
      <c r="U331" s="38"/>
    </row>
    <row r="332" spans="1:21">
      <c r="A332" s="38"/>
      <c r="B332" s="38"/>
      <c r="C332" s="38"/>
      <c r="D332" s="38"/>
      <c r="E332" s="38"/>
      <c r="F332" s="38"/>
      <c r="G332" s="38"/>
      <c r="H332" s="38"/>
      <c r="I332" s="38"/>
      <c r="J332" s="38"/>
      <c r="K332" s="38"/>
      <c r="L332" s="38"/>
      <c r="M332" s="38"/>
      <c r="N332" s="38"/>
      <c r="O332" s="38"/>
      <c r="P332" s="38"/>
      <c r="Q332" s="38"/>
      <c r="R332" s="38"/>
      <c r="S332" s="38"/>
      <c r="T332" s="38"/>
      <c r="U332" s="38"/>
    </row>
    <row r="333" spans="1:21">
      <c r="A333" s="38"/>
      <c r="B333" s="38"/>
      <c r="C333" s="38"/>
      <c r="D333" s="38"/>
      <c r="E333" s="38"/>
      <c r="F333" s="38"/>
      <c r="G333" s="38"/>
      <c r="H333" s="38"/>
      <c r="I333" s="38"/>
      <c r="J333" s="38"/>
      <c r="K333" s="38"/>
      <c r="L333" s="38"/>
      <c r="M333" s="38"/>
      <c r="N333" s="38"/>
      <c r="O333" s="38"/>
      <c r="P333" s="38"/>
      <c r="Q333" s="38"/>
      <c r="R333" s="38"/>
      <c r="S333" s="38"/>
      <c r="T333" s="38"/>
      <c r="U333" s="38"/>
    </row>
    <row r="334" spans="1:21">
      <c r="A334" s="38"/>
      <c r="B334" s="38"/>
      <c r="C334" s="38"/>
      <c r="D334" s="38"/>
      <c r="E334" s="38"/>
      <c r="F334" s="38"/>
      <c r="G334" s="38"/>
      <c r="H334" s="38"/>
      <c r="I334" s="38"/>
      <c r="J334" s="38"/>
      <c r="K334" s="38"/>
      <c r="L334" s="38"/>
      <c r="M334" s="38"/>
      <c r="N334" s="38"/>
      <c r="O334" s="38"/>
      <c r="P334" s="38"/>
      <c r="Q334" s="38"/>
      <c r="R334" s="38"/>
      <c r="S334" s="38"/>
      <c r="T334" s="38"/>
      <c r="U334" s="38"/>
    </row>
    <row r="335" spans="1:21">
      <c r="A335" s="38"/>
      <c r="B335" s="38"/>
      <c r="C335" s="38"/>
      <c r="D335" s="38"/>
      <c r="E335" s="38"/>
      <c r="F335" s="38"/>
      <c r="G335" s="38"/>
      <c r="H335" s="38"/>
      <c r="I335" s="38"/>
      <c r="J335" s="38"/>
      <c r="K335" s="38"/>
      <c r="L335" s="38"/>
      <c r="M335" s="38"/>
      <c r="N335" s="38"/>
      <c r="O335" s="38"/>
      <c r="P335" s="38"/>
      <c r="Q335" s="38"/>
      <c r="R335" s="38"/>
      <c r="S335" s="38"/>
      <c r="T335" s="38"/>
      <c r="U335" s="38"/>
    </row>
    <row r="336" spans="1:21">
      <c r="A336" s="38"/>
      <c r="B336" s="38"/>
      <c r="C336" s="38"/>
      <c r="D336" s="38"/>
      <c r="E336" s="38"/>
      <c r="F336" s="38"/>
      <c r="G336" s="38"/>
      <c r="H336" s="38"/>
      <c r="I336" s="38"/>
      <c r="J336" s="38"/>
      <c r="K336" s="38"/>
      <c r="L336" s="38"/>
      <c r="M336" s="38"/>
      <c r="N336" s="38"/>
      <c r="O336" s="38"/>
      <c r="P336" s="38"/>
      <c r="Q336" s="38"/>
      <c r="R336" s="38"/>
      <c r="S336" s="38"/>
      <c r="T336" s="38"/>
      <c r="U336" s="38"/>
    </row>
    <row r="337" spans="1:21">
      <c r="A337" s="38"/>
      <c r="B337" s="38"/>
      <c r="C337" s="38"/>
      <c r="D337" s="38"/>
      <c r="E337" s="38"/>
      <c r="F337" s="38"/>
      <c r="G337" s="38"/>
      <c r="H337" s="38"/>
      <c r="I337" s="38"/>
      <c r="J337" s="38"/>
      <c r="K337" s="38"/>
      <c r="L337" s="38"/>
      <c r="M337" s="38"/>
      <c r="N337" s="38"/>
      <c r="O337" s="38"/>
      <c r="P337" s="38"/>
      <c r="Q337" s="38"/>
      <c r="R337" s="38"/>
      <c r="S337" s="38"/>
      <c r="T337" s="38"/>
      <c r="U337" s="38"/>
    </row>
    <row r="338" spans="1:21">
      <c r="A338" s="38"/>
      <c r="B338" s="38"/>
      <c r="C338" s="38"/>
      <c r="D338" s="38"/>
      <c r="E338" s="38"/>
      <c r="F338" s="38"/>
      <c r="G338" s="38"/>
      <c r="H338" s="38"/>
      <c r="I338" s="38"/>
      <c r="J338" s="38"/>
      <c r="K338" s="38"/>
      <c r="L338" s="38"/>
      <c r="M338" s="38"/>
      <c r="N338" s="38"/>
      <c r="O338" s="38"/>
      <c r="P338" s="38"/>
      <c r="Q338" s="38"/>
      <c r="R338" s="38"/>
      <c r="S338" s="38"/>
      <c r="T338" s="38"/>
      <c r="U338" s="38"/>
    </row>
    <row r="339" spans="1:21">
      <c r="A339" s="38"/>
      <c r="B339" s="38"/>
      <c r="C339" s="38"/>
      <c r="D339" s="38"/>
      <c r="E339" s="38"/>
      <c r="F339" s="38"/>
      <c r="G339" s="38"/>
      <c r="H339" s="38"/>
      <c r="I339" s="38"/>
      <c r="J339" s="38"/>
      <c r="K339" s="38"/>
      <c r="L339" s="38"/>
      <c r="M339" s="38"/>
      <c r="N339" s="38"/>
      <c r="O339" s="38"/>
      <c r="P339" s="38"/>
      <c r="Q339" s="38"/>
      <c r="R339" s="38"/>
      <c r="S339" s="38"/>
      <c r="T339" s="38"/>
      <c r="U339" s="38"/>
    </row>
    <row r="340" spans="1:21">
      <c r="A340" s="38"/>
      <c r="B340" s="38"/>
      <c r="C340" s="38"/>
      <c r="D340" s="38"/>
      <c r="E340" s="38"/>
      <c r="F340" s="38"/>
      <c r="G340" s="38"/>
      <c r="H340" s="38"/>
      <c r="I340" s="38"/>
      <c r="J340" s="38"/>
      <c r="K340" s="38"/>
      <c r="L340" s="38"/>
      <c r="M340" s="38"/>
      <c r="N340" s="38"/>
      <c r="O340" s="38"/>
      <c r="P340" s="38"/>
      <c r="Q340" s="38"/>
      <c r="R340" s="38"/>
      <c r="S340" s="38"/>
      <c r="T340" s="38"/>
      <c r="U340" s="38"/>
    </row>
    <row r="341" spans="1:21">
      <c r="A341" s="38"/>
      <c r="B341" s="38"/>
      <c r="C341" s="38"/>
      <c r="D341" s="38"/>
      <c r="E341" s="38"/>
      <c r="F341" s="38"/>
      <c r="G341" s="38"/>
      <c r="H341" s="38"/>
      <c r="I341" s="38"/>
      <c r="J341" s="38"/>
      <c r="K341" s="38"/>
      <c r="L341" s="38"/>
      <c r="M341" s="38"/>
      <c r="N341" s="38"/>
      <c r="O341" s="38"/>
      <c r="P341" s="38"/>
      <c r="Q341" s="38"/>
      <c r="R341" s="38"/>
      <c r="S341" s="38"/>
      <c r="T341" s="38"/>
      <c r="U341" s="38"/>
    </row>
    <row r="342" spans="1:21">
      <c r="A342" s="38"/>
      <c r="B342" s="38"/>
      <c r="C342" s="38"/>
      <c r="D342" s="38"/>
      <c r="E342" s="38"/>
      <c r="F342" s="38"/>
      <c r="G342" s="38"/>
      <c r="H342" s="38"/>
      <c r="I342" s="38"/>
      <c r="J342" s="38"/>
      <c r="K342" s="38"/>
      <c r="L342" s="38"/>
      <c r="M342" s="38"/>
      <c r="N342" s="38"/>
      <c r="O342" s="38"/>
      <c r="P342" s="38"/>
      <c r="Q342" s="38"/>
      <c r="R342" s="38"/>
      <c r="S342" s="38"/>
      <c r="T342" s="38"/>
      <c r="U342" s="38"/>
    </row>
    <row r="343" spans="1:21">
      <c r="A343" s="38"/>
      <c r="B343" s="38"/>
      <c r="C343" s="38"/>
      <c r="D343" s="38"/>
      <c r="E343" s="38"/>
      <c r="F343" s="38"/>
      <c r="G343" s="38"/>
      <c r="H343" s="38"/>
      <c r="I343" s="38"/>
      <c r="J343" s="38"/>
      <c r="K343" s="38"/>
      <c r="L343" s="38"/>
      <c r="M343" s="38"/>
      <c r="N343" s="38"/>
      <c r="O343" s="38"/>
      <c r="P343" s="38"/>
      <c r="Q343" s="38"/>
      <c r="R343" s="38"/>
      <c r="S343" s="38"/>
      <c r="T343" s="38"/>
      <c r="U343" s="38"/>
    </row>
    <row r="344" spans="1:21">
      <c r="A344" s="38"/>
      <c r="B344" s="38"/>
      <c r="C344" s="38"/>
      <c r="D344" s="38"/>
      <c r="E344" s="38"/>
      <c r="F344" s="38"/>
      <c r="G344" s="38"/>
      <c r="H344" s="38"/>
      <c r="I344" s="38"/>
      <c r="J344" s="38"/>
      <c r="K344" s="38"/>
      <c r="L344" s="38"/>
      <c r="M344" s="38"/>
      <c r="N344" s="38"/>
      <c r="O344" s="38"/>
      <c r="P344" s="38"/>
      <c r="Q344" s="38"/>
      <c r="R344" s="38"/>
      <c r="S344" s="38"/>
      <c r="T344" s="38"/>
      <c r="U344" s="38"/>
    </row>
    <row r="345" spans="1:21">
      <c r="A345" s="38"/>
      <c r="B345" s="38"/>
      <c r="C345" s="38"/>
      <c r="D345" s="38"/>
      <c r="E345" s="38"/>
      <c r="F345" s="38"/>
      <c r="G345" s="38"/>
      <c r="H345" s="38"/>
      <c r="I345" s="38"/>
      <c r="J345" s="38"/>
      <c r="K345" s="38"/>
      <c r="L345" s="38"/>
      <c r="M345" s="38"/>
      <c r="N345" s="38"/>
      <c r="O345" s="38"/>
      <c r="P345" s="38"/>
      <c r="Q345" s="38"/>
      <c r="R345" s="38"/>
      <c r="S345" s="38"/>
      <c r="T345" s="38"/>
      <c r="U345" s="38"/>
    </row>
    <row r="346" spans="1:21">
      <c r="A346" s="38"/>
      <c r="B346" s="38"/>
      <c r="C346" s="38"/>
      <c r="D346" s="38"/>
      <c r="E346" s="38"/>
      <c r="F346" s="38"/>
      <c r="G346" s="38"/>
      <c r="H346" s="38"/>
      <c r="I346" s="38"/>
      <c r="J346" s="38"/>
      <c r="K346" s="38"/>
      <c r="L346" s="38"/>
      <c r="M346" s="38"/>
      <c r="N346" s="38"/>
      <c r="O346" s="38"/>
      <c r="P346" s="38"/>
      <c r="Q346" s="38"/>
      <c r="R346" s="38"/>
      <c r="S346" s="38"/>
      <c r="T346" s="38"/>
      <c r="U346" s="38"/>
    </row>
    <row r="347" spans="1:21">
      <c r="A347" s="38"/>
      <c r="B347" s="38"/>
      <c r="C347" s="38"/>
      <c r="D347" s="38"/>
      <c r="E347" s="38"/>
      <c r="F347" s="38"/>
      <c r="G347" s="38"/>
      <c r="H347" s="38"/>
      <c r="I347" s="38"/>
      <c r="J347" s="38"/>
      <c r="K347" s="38"/>
      <c r="L347" s="38"/>
      <c r="M347" s="38"/>
      <c r="N347" s="38"/>
      <c r="O347" s="38"/>
      <c r="P347" s="38"/>
      <c r="Q347" s="38"/>
      <c r="R347" s="38"/>
      <c r="S347" s="38"/>
      <c r="T347" s="38"/>
      <c r="U347" s="38"/>
    </row>
    <row r="348" spans="1:21">
      <c r="A348" s="38"/>
      <c r="B348" s="38"/>
      <c r="C348" s="38"/>
      <c r="D348" s="38"/>
      <c r="E348" s="38"/>
      <c r="F348" s="38"/>
      <c r="G348" s="38"/>
      <c r="H348" s="38"/>
      <c r="I348" s="38"/>
      <c r="J348" s="38"/>
      <c r="K348" s="38"/>
      <c r="L348" s="38"/>
      <c r="M348" s="38"/>
      <c r="N348" s="38"/>
      <c r="O348" s="38"/>
      <c r="P348" s="38"/>
      <c r="Q348" s="38"/>
      <c r="R348" s="38"/>
      <c r="S348" s="38"/>
      <c r="T348" s="38"/>
      <c r="U348" s="38"/>
    </row>
    <row r="349" spans="1:21">
      <c r="A349" s="38"/>
      <c r="B349" s="38"/>
      <c r="C349" s="38"/>
      <c r="D349" s="38"/>
      <c r="E349" s="38"/>
      <c r="F349" s="38"/>
      <c r="G349" s="38"/>
      <c r="H349" s="38"/>
      <c r="I349" s="38"/>
      <c r="J349" s="38"/>
      <c r="K349" s="38"/>
      <c r="L349" s="38"/>
      <c r="M349" s="38"/>
      <c r="N349" s="38"/>
      <c r="O349" s="38"/>
      <c r="P349" s="38"/>
      <c r="Q349" s="38"/>
      <c r="R349" s="38"/>
      <c r="S349" s="38"/>
      <c r="T349" s="38"/>
      <c r="U349" s="38"/>
    </row>
    <row r="350" spans="1:21">
      <c r="A350" s="38"/>
      <c r="B350" s="38"/>
      <c r="C350" s="38"/>
      <c r="D350" s="38"/>
      <c r="E350" s="38"/>
      <c r="F350" s="38"/>
      <c r="G350" s="38"/>
      <c r="H350" s="38"/>
      <c r="I350" s="38"/>
      <c r="J350" s="38"/>
      <c r="K350" s="38"/>
      <c r="L350" s="38"/>
      <c r="M350" s="38"/>
      <c r="N350" s="38"/>
      <c r="O350" s="38"/>
      <c r="P350" s="38"/>
      <c r="Q350" s="38"/>
      <c r="R350" s="38"/>
      <c r="S350" s="38"/>
      <c r="T350" s="38"/>
      <c r="U350" s="38"/>
    </row>
    <row r="351" spans="1:21">
      <c r="A351" s="38"/>
      <c r="B351" s="38"/>
      <c r="C351" s="38"/>
      <c r="D351" s="38"/>
      <c r="E351" s="38"/>
      <c r="F351" s="38"/>
      <c r="G351" s="38"/>
      <c r="H351" s="38"/>
      <c r="I351" s="38"/>
      <c r="J351" s="38"/>
      <c r="K351" s="38"/>
      <c r="L351" s="38"/>
      <c r="M351" s="38"/>
      <c r="N351" s="38"/>
      <c r="O351" s="38"/>
      <c r="P351" s="38"/>
      <c r="Q351" s="38"/>
      <c r="R351" s="38"/>
      <c r="S351" s="38"/>
      <c r="T351" s="38"/>
      <c r="U351" s="38"/>
    </row>
    <row r="352" spans="1:21">
      <c r="A352" s="38"/>
      <c r="B352" s="38"/>
      <c r="C352" s="38"/>
      <c r="D352" s="38"/>
      <c r="E352" s="38"/>
      <c r="F352" s="38"/>
      <c r="G352" s="38"/>
      <c r="H352" s="38"/>
      <c r="I352" s="38"/>
      <c r="J352" s="38"/>
      <c r="K352" s="38"/>
      <c r="L352" s="38"/>
      <c r="M352" s="38"/>
      <c r="N352" s="38"/>
      <c r="O352" s="38"/>
      <c r="P352" s="38"/>
      <c r="Q352" s="38"/>
      <c r="R352" s="38"/>
      <c r="S352" s="38"/>
      <c r="T352" s="38"/>
      <c r="U352" s="38"/>
    </row>
    <row r="353" spans="1:21">
      <c r="A353" s="38"/>
      <c r="B353" s="38"/>
      <c r="C353" s="38"/>
      <c r="D353" s="38"/>
      <c r="E353" s="38"/>
      <c r="F353" s="38"/>
      <c r="G353" s="38"/>
      <c r="H353" s="38"/>
      <c r="I353" s="38"/>
      <c r="J353" s="38"/>
      <c r="K353" s="38"/>
      <c r="L353" s="38"/>
      <c r="M353" s="38"/>
      <c r="N353" s="38"/>
      <c r="O353" s="38"/>
      <c r="P353" s="38"/>
      <c r="Q353" s="38"/>
      <c r="R353" s="38"/>
      <c r="S353" s="38"/>
      <c r="T353" s="38"/>
      <c r="U353" s="38"/>
    </row>
    <row r="354" spans="1:21">
      <c r="A354" s="38"/>
      <c r="B354" s="38"/>
      <c r="C354" s="38"/>
      <c r="D354" s="38"/>
      <c r="E354" s="38"/>
      <c r="F354" s="38"/>
      <c r="G354" s="38"/>
      <c r="H354" s="38"/>
      <c r="I354" s="38"/>
      <c r="J354" s="38"/>
      <c r="K354" s="38"/>
      <c r="L354" s="38"/>
      <c r="M354" s="38"/>
      <c r="N354" s="38"/>
      <c r="O354" s="38"/>
      <c r="P354" s="38"/>
      <c r="Q354" s="38"/>
      <c r="R354" s="38"/>
      <c r="S354" s="38"/>
      <c r="T354" s="38"/>
      <c r="U354" s="38"/>
    </row>
    <row r="355" spans="1:21">
      <c r="A355" s="38"/>
      <c r="B355" s="38"/>
      <c r="C355" s="38"/>
      <c r="D355" s="38"/>
      <c r="E355" s="38"/>
      <c r="F355" s="38"/>
      <c r="G355" s="38"/>
      <c r="H355" s="38"/>
      <c r="I355" s="38"/>
      <c r="J355" s="38"/>
      <c r="K355" s="38"/>
      <c r="L355" s="38"/>
      <c r="M355" s="38"/>
      <c r="N355" s="38"/>
      <c r="O355" s="38"/>
      <c r="P355" s="38"/>
      <c r="Q355" s="38"/>
      <c r="R355" s="38"/>
      <c r="S355" s="38"/>
      <c r="T355" s="38"/>
      <c r="U355" s="38"/>
    </row>
    <row r="356" spans="1:21">
      <c r="A356" s="38"/>
      <c r="B356" s="38"/>
      <c r="C356" s="38"/>
      <c r="D356" s="38"/>
      <c r="E356" s="38"/>
      <c r="F356" s="38"/>
      <c r="G356" s="38"/>
      <c r="H356" s="38"/>
      <c r="I356" s="38"/>
      <c r="J356" s="38"/>
      <c r="K356" s="38"/>
      <c r="L356" s="38"/>
      <c r="M356" s="38"/>
      <c r="N356" s="38"/>
      <c r="O356" s="38"/>
      <c r="P356" s="38"/>
      <c r="Q356" s="38"/>
      <c r="R356" s="38"/>
      <c r="S356" s="38"/>
      <c r="T356" s="38"/>
      <c r="U356" s="38"/>
    </row>
    <row r="357" spans="1:21">
      <c r="A357" s="38"/>
      <c r="B357" s="38"/>
      <c r="C357" s="38"/>
      <c r="D357" s="38"/>
      <c r="E357" s="38"/>
      <c r="F357" s="38"/>
      <c r="G357" s="38"/>
      <c r="H357" s="38"/>
      <c r="I357" s="38"/>
      <c r="J357" s="38"/>
      <c r="K357" s="38"/>
      <c r="L357" s="38"/>
      <c r="M357" s="38"/>
      <c r="N357" s="38"/>
      <c r="O357" s="38"/>
      <c r="P357" s="38"/>
      <c r="Q357" s="38"/>
      <c r="R357" s="38"/>
      <c r="S357" s="38"/>
      <c r="T357" s="38"/>
      <c r="U357" s="38"/>
    </row>
    <row r="358" spans="1:21">
      <c r="A358" s="38"/>
      <c r="B358" s="38"/>
      <c r="C358" s="38"/>
      <c r="D358" s="38"/>
      <c r="E358" s="38"/>
      <c r="F358" s="38"/>
      <c r="G358" s="38"/>
      <c r="H358" s="38"/>
      <c r="I358" s="38"/>
      <c r="J358" s="38"/>
      <c r="K358" s="38"/>
      <c r="L358" s="38"/>
      <c r="M358" s="38"/>
      <c r="N358" s="38"/>
      <c r="O358" s="38"/>
      <c r="P358" s="38"/>
      <c r="Q358" s="38"/>
      <c r="R358" s="38"/>
      <c r="S358" s="38"/>
      <c r="T358" s="38"/>
      <c r="U358" s="38"/>
    </row>
    <row r="359" spans="1:21">
      <c r="A359" s="38"/>
      <c r="B359" s="38"/>
      <c r="C359" s="38"/>
      <c r="D359" s="38"/>
      <c r="E359" s="38"/>
      <c r="F359" s="38"/>
      <c r="G359" s="38"/>
      <c r="H359" s="38"/>
      <c r="I359" s="38"/>
      <c r="J359" s="38"/>
      <c r="K359" s="38"/>
      <c r="L359" s="38"/>
      <c r="M359" s="38"/>
      <c r="N359" s="38"/>
      <c r="O359" s="38"/>
      <c r="P359" s="38"/>
      <c r="Q359" s="38"/>
      <c r="R359" s="38"/>
      <c r="S359" s="38"/>
      <c r="T359" s="38"/>
      <c r="U359" s="38"/>
    </row>
    <row r="360" spans="1:21">
      <c r="A360" s="38"/>
      <c r="B360" s="38"/>
      <c r="C360" s="38"/>
      <c r="D360" s="38"/>
      <c r="E360" s="38"/>
      <c r="F360" s="38"/>
      <c r="G360" s="38"/>
      <c r="H360" s="38"/>
      <c r="I360" s="38"/>
      <c r="J360" s="38"/>
      <c r="K360" s="38"/>
      <c r="L360" s="38"/>
      <c r="M360" s="38"/>
      <c r="N360" s="38"/>
      <c r="O360" s="38"/>
      <c r="P360" s="38"/>
      <c r="Q360" s="38"/>
      <c r="R360" s="38"/>
      <c r="S360" s="38"/>
      <c r="T360" s="38"/>
      <c r="U360" s="38"/>
    </row>
    <row r="361" spans="1:21">
      <c r="A361" s="38"/>
      <c r="B361" s="38"/>
      <c r="C361" s="38"/>
      <c r="D361" s="38"/>
      <c r="E361" s="38"/>
      <c r="F361" s="38"/>
      <c r="G361" s="38"/>
      <c r="H361" s="38"/>
      <c r="I361" s="38"/>
      <c r="J361" s="38"/>
      <c r="K361" s="38"/>
      <c r="L361" s="38"/>
      <c r="M361" s="38"/>
      <c r="N361" s="38"/>
      <c r="O361" s="38"/>
      <c r="P361" s="38"/>
      <c r="Q361" s="38"/>
      <c r="R361" s="38"/>
      <c r="S361" s="38"/>
      <c r="T361" s="38"/>
      <c r="U361" s="38"/>
    </row>
    <row r="362" spans="1:21">
      <c r="A362" s="38"/>
      <c r="B362" s="38"/>
      <c r="C362" s="38"/>
      <c r="D362" s="38"/>
      <c r="E362" s="38"/>
      <c r="F362" s="38"/>
      <c r="G362" s="38"/>
      <c r="H362" s="38"/>
      <c r="I362" s="38"/>
      <c r="J362" s="38"/>
      <c r="K362" s="38"/>
      <c r="L362" s="38"/>
      <c r="M362" s="38"/>
      <c r="N362" s="38"/>
      <c r="O362" s="38"/>
      <c r="P362" s="38"/>
      <c r="Q362" s="38"/>
      <c r="R362" s="38"/>
      <c r="S362" s="38"/>
      <c r="T362" s="38"/>
      <c r="U362" s="38"/>
    </row>
    <row r="363" spans="1:21">
      <c r="A363" s="38"/>
      <c r="B363" s="38"/>
      <c r="C363" s="38"/>
      <c r="D363" s="38"/>
      <c r="E363" s="38"/>
      <c r="F363" s="38"/>
      <c r="G363" s="38"/>
      <c r="H363" s="38"/>
      <c r="I363" s="38"/>
      <c r="J363" s="38"/>
      <c r="K363" s="38"/>
      <c r="L363" s="38"/>
      <c r="M363" s="38"/>
      <c r="N363" s="38"/>
      <c r="O363" s="38"/>
      <c r="P363" s="38"/>
      <c r="Q363" s="38"/>
      <c r="R363" s="38"/>
      <c r="S363" s="38"/>
      <c r="T363" s="38"/>
      <c r="U363" s="38"/>
    </row>
    <row r="364" spans="1:21">
      <c r="A364" s="38"/>
      <c r="B364" s="38"/>
      <c r="C364" s="38"/>
      <c r="D364" s="38"/>
      <c r="E364" s="38"/>
      <c r="F364" s="38"/>
      <c r="G364" s="38"/>
      <c r="H364" s="38"/>
      <c r="I364" s="38"/>
      <c r="J364" s="38"/>
      <c r="K364" s="38"/>
      <c r="L364" s="38"/>
      <c r="M364" s="38"/>
      <c r="N364" s="38"/>
      <c r="O364" s="38"/>
      <c r="P364" s="38"/>
      <c r="Q364" s="38"/>
      <c r="R364" s="38"/>
      <c r="S364" s="38"/>
      <c r="T364" s="38"/>
      <c r="U364" s="38"/>
    </row>
    <row r="365" spans="1:21">
      <c r="A365" s="38"/>
      <c r="B365" s="38"/>
      <c r="C365" s="38"/>
      <c r="D365" s="38"/>
      <c r="E365" s="38"/>
      <c r="F365" s="38"/>
      <c r="G365" s="38"/>
      <c r="H365" s="38"/>
      <c r="I365" s="38"/>
      <c r="J365" s="38"/>
      <c r="K365" s="38"/>
      <c r="L365" s="38"/>
      <c r="M365" s="38"/>
      <c r="N365" s="38"/>
      <c r="O365" s="38"/>
      <c r="P365" s="38"/>
      <c r="Q365" s="38"/>
      <c r="R365" s="38"/>
      <c r="S365" s="38"/>
      <c r="T365" s="38"/>
      <c r="U365" s="38"/>
    </row>
    <row r="366" spans="1:21">
      <c r="A366" s="38"/>
      <c r="B366" s="38"/>
      <c r="C366" s="38"/>
      <c r="D366" s="38"/>
      <c r="E366" s="38"/>
      <c r="F366" s="38"/>
      <c r="G366" s="38"/>
      <c r="H366" s="38"/>
      <c r="I366" s="38"/>
      <c r="J366" s="38"/>
      <c r="K366" s="38"/>
      <c r="L366" s="38"/>
      <c r="M366" s="38"/>
      <c r="N366" s="38"/>
      <c r="O366" s="38"/>
      <c r="P366" s="38"/>
      <c r="Q366" s="38"/>
      <c r="R366" s="38"/>
      <c r="S366" s="38"/>
      <c r="T366" s="38"/>
      <c r="U366" s="38"/>
    </row>
    <row r="367" spans="1:21">
      <c r="A367" s="38"/>
      <c r="B367" s="38"/>
      <c r="C367" s="38"/>
      <c r="D367" s="38"/>
      <c r="E367" s="38"/>
      <c r="F367" s="38"/>
      <c r="G367" s="38"/>
      <c r="H367" s="38"/>
      <c r="I367" s="38"/>
      <c r="J367" s="38"/>
      <c r="K367" s="38"/>
      <c r="L367" s="38"/>
      <c r="M367" s="38"/>
      <c r="N367" s="38"/>
      <c r="O367" s="38"/>
      <c r="P367" s="38"/>
      <c r="Q367" s="38"/>
      <c r="R367" s="38"/>
      <c r="S367" s="38"/>
      <c r="T367" s="38"/>
      <c r="U367" s="38"/>
    </row>
    <row r="368" spans="1:21">
      <c r="A368" s="38"/>
      <c r="B368" s="38"/>
      <c r="C368" s="38"/>
      <c r="D368" s="38"/>
      <c r="E368" s="38"/>
      <c r="F368" s="38"/>
      <c r="G368" s="38"/>
      <c r="H368" s="38"/>
      <c r="I368" s="38"/>
      <c r="J368" s="38"/>
      <c r="K368" s="38"/>
      <c r="L368" s="38"/>
      <c r="M368" s="38"/>
      <c r="N368" s="38"/>
      <c r="O368" s="38"/>
      <c r="P368" s="38"/>
      <c r="Q368" s="38"/>
      <c r="R368" s="38"/>
      <c r="S368" s="38"/>
      <c r="T368" s="38"/>
      <c r="U368" s="38"/>
    </row>
    <row r="369" spans="1:21">
      <c r="A369" s="38"/>
      <c r="B369" s="38"/>
      <c r="C369" s="38"/>
      <c r="D369" s="38"/>
      <c r="E369" s="38"/>
      <c r="F369" s="38"/>
      <c r="G369" s="38"/>
      <c r="H369" s="38"/>
      <c r="I369" s="38"/>
      <c r="J369" s="38"/>
      <c r="K369" s="38"/>
      <c r="L369" s="38"/>
      <c r="M369" s="38"/>
      <c r="N369" s="38"/>
      <c r="O369" s="38"/>
      <c r="P369" s="38"/>
      <c r="Q369" s="38"/>
      <c r="R369" s="38"/>
      <c r="S369" s="38"/>
      <c r="T369" s="38"/>
      <c r="U369" s="38"/>
    </row>
    <row r="370" spans="1:21">
      <c r="A370" s="38"/>
      <c r="B370" s="38"/>
      <c r="C370" s="38"/>
      <c r="D370" s="38"/>
      <c r="E370" s="38"/>
      <c r="F370" s="38"/>
      <c r="G370" s="38"/>
      <c r="H370" s="38"/>
      <c r="I370" s="38"/>
      <c r="J370" s="38"/>
      <c r="K370" s="38"/>
      <c r="L370" s="38"/>
      <c r="M370" s="38"/>
      <c r="N370" s="38"/>
      <c r="O370" s="38"/>
      <c r="P370" s="38"/>
      <c r="Q370" s="38"/>
      <c r="R370" s="38"/>
      <c r="S370" s="38"/>
      <c r="T370" s="38"/>
      <c r="U370" s="38"/>
    </row>
    <row r="371" spans="1:21">
      <c r="A371" s="38"/>
      <c r="B371" s="38"/>
      <c r="C371" s="38"/>
      <c r="D371" s="38"/>
      <c r="E371" s="38"/>
      <c r="F371" s="38"/>
      <c r="G371" s="38"/>
      <c r="H371" s="38"/>
      <c r="I371" s="38"/>
      <c r="J371" s="38"/>
      <c r="K371" s="38"/>
      <c r="L371" s="38"/>
      <c r="M371" s="38"/>
      <c r="N371" s="38"/>
      <c r="O371" s="38"/>
      <c r="P371" s="38"/>
      <c r="Q371" s="38"/>
      <c r="R371" s="38"/>
      <c r="S371" s="38"/>
      <c r="T371" s="38"/>
      <c r="U371" s="38"/>
    </row>
    <row r="372" spans="1:21">
      <c r="A372" s="38"/>
      <c r="B372" s="38"/>
      <c r="C372" s="38"/>
      <c r="D372" s="38"/>
      <c r="E372" s="38"/>
      <c r="F372" s="38"/>
      <c r="G372" s="38"/>
      <c r="H372" s="38"/>
      <c r="I372" s="38"/>
      <c r="J372" s="38"/>
      <c r="K372" s="38"/>
      <c r="L372" s="38"/>
      <c r="M372" s="38"/>
      <c r="N372" s="38"/>
      <c r="O372" s="38"/>
      <c r="P372" s="38"/>
      <c r="Q372" s="38"/>
      <c r="R372" s="38"/>
      <c r="S372" s="38"/>
      <c r="T372" s="38"/>
      <c r="U372" s="38"/>
    </row>
    <row r="373" spans="1:21">
      <c r="A373" s="38"/>
      <c r="B373" s="38"/>
      <c r="C373" s="38"/>
      <c r="D373" s="38"/>
      <c r="E373" s="38"/>
      <c r="F373" s="38"/>
      <c r="G373" s="38"/>
      <c r="H373" s="38"/>
      <c r="I373" s="38"/>
      <c r="J373" s="38"/>
      <c r="K373" s="38"/>
      <c r="L373" s="38"/>
      <c r="M373" s="38"/>
      <c r="N373" s="38"/>
      <c r="O373" s="38"/>
      <c r="P373" s="38"/>
      <c r="Q373" s="38"/>
      <c r="R373" s="38"/>
      <c r="S373" s="38"/>
      <c r="T373" s="38"/>
      <c r="U373" s="38"/>
    </row>
    <row r="374" spans="1:21">
      <c r="A374" s="38"/>
      <c r="B374" s="38"/>
      <c r="C374" s="38"/>
      <c r="D374" s="38"/>
      <c r="E374" s="38"/>
      <c r="F374" s="38"/>
      <c r="G374" s="38"/>
      <c r="H374" s="38"/>
      <c r="I374" s="38"/>
      <c r="J374" s="38"/>
      <c r="K374" s="38"/>
      <c r="L374" s="38"/>
      <c r="M374" s="38"/>
      <c r="N374" s="38"/>
      <c r="O374" s="38"/>
      <c r="P374" s="38"/>
      <c r="Q374" s="38"/>
      <c r="R374" s="38"/>
      <c r="S374" s="38"/>
      <c r="T374" s="38"/>
      <c r="U374" s="38"/>
    </row>
    <row r="375" spans="1:21">
      <c r="A375" s="38"/>
      <c r="B375" s="38"/>
      <c r="C375" s="38"/>
      <c r="D375" s="38"/>
      <c r="E375" s="38"/>
      <c r="F375" s="38"/>
      <c r="G375" s="38"/>
      <c r="H375" s="38"/>
      <c r="I375" s="38"/>
      <c r="J375" s="38"/>
      <c r="K375" s="38"/>
      <c r="L375" s="38"/>
      <c r="M375" s="38"/>
      <c r="N375" s="38"/>
      <c r="O375" s="38"/>
      <c r="P375" s="38"/>
      <c r="Q375" s="38"/>
      <c r="R375" s="38"/>
      <c r="S375" s="38"/>
      <c r="T375" s="38"/>
      <c r="U375" s="38"/>
    </row>
    <row r="376" spans="1:21">
      <c r="A376" s="38"/>
      <c r="B376" s="38"/>
      <c r="C376" s="38"/>
      <c r="D376" s="38"/>
      <c r="E376" s="38"/>
      <c r="F376" s="38"/>
      <c r="G376" s="38"/>
      <c r="H376" s="38"/>
      <c r="I376" s="38"/>
      <c r="J376" s="38"/>
      <c r="K376" s="38"/>
      <c r="L376" s="38"/>
      <c r="M376" s="38"/>
      <c r="N376" s="38"/>
      <c r="O376" s="38"/>
      <c r="P376" s="38"/>
      <c r="Q376" s="38"/>
      <c r="R376" s="38"/>
      <c r="S376" s="38"/>
      <c r="T376" s="38"/>
      <c r="U376" s="38"/>
    </row>
    <row r="377" spans="1:21">
      <c r="A377" s="38"/>
      <c r="B377" s="38"/>
      <c r="C377" s="38"/>
      <c r="D377" s="38"/>
      <c r="E377" s="38"/>
      <c r="F377" s="38"/>
      <c r="G377" s="38"/>
      <c r="H377" s="38"/>
      <c r="I377" s="38"/>
      <c r="J377" s="38"/>
      <c r="K377" s="38"/>
      <c r="L377" s="38"/>
      <c r="M377" s="38"/>
      <c r="N377" s="38"/>
      <c r="O377" s="38"/>
      <c r="P377" s="38"/>
      <c r="Q377" s="38"/>
      <c r="R377" s="38"/>
      <c r="S377" s="38"/>
      <c r="T377" s="38"/>
      <c r="U377" s="38"/>
    </row>
    <row r="378" spans="1:21">
      <c r="A378" s="38"/>
      <c r="B378" s="38"/>
      <c r="C378" s="38"/>
      <c r="D378" s="38"/>
      <c r="E378" s="38"/>
      <c r="F378" s="38"/>
      <c r="G378" s="38"/>
      <c r="H378" s="38"/>
      <c r="I378" s="38"/>
      <c r="J378" s="38"/>
      <c r="K378" s="38"/>
      <c r="L378" s="38"/>
      <c r="M378" s="38"/>
      <c r="N378" s="38"/>
      <c r="O378" s="38"/>
      <c r="P378" s="38"/>
      <c r="Q378" s="38"/>
      <c r="R378" s="38"/>
      <c r="S378" s="38"/>
      <c r="T378" s="38"/>
      <c r="U378" s="38"/>
    </row>
    <row r="379" spans="1:21">
      <c r="A379" s="38"/>
      <c r="B379" s="38"/>
      <c r="C379" s="38"/>
      <c r="D379" s="38"/>
      <c r="E379" s="38"/>
      <c r="F379" s="38"/>
      <c r="G379" s="38"/>
      <c r="H379" s="38"/>
      <c r="I379" s="38"/>
      <c r="J379" s="38"/>
      <c r="K379" s="38"/>
      <c r="L379" s="38"/>
      <c r="M379" s="38"/>
      <c r="N379" s="38"/>
      <c r="O379" s="38"/>
      <c r="P379" s="38"/>
      <c r="Q379" s="38"/>
      <c r="R379" s="38"/>
      <c r="S379" s="38"/>
      <c r="T379" s="38"/>
      <c r="U379" s="38"/>
    </row>
    <row r="380" spans="1:21">
      <c r="A380" s="38"/>
      <c r="B380" s="38"/>
      <c r="C380" s="38"/>
      <c r="D380" s="38"/>
      <c r="E380" s="38"/>
      <c r="F380" s="38"/>
      <c r="G380" s="38"/>
      <c r="H380" s="38"/>
      <c r="I380" s="38"/>
      <c r="J380" s="38"/>
      <c r="K380" s="38"/>
      <c r="L380" s="38"/>
      <c r="M380" s="38"/>
      <c r="N380" s="38"/>
      <c r="O380" s="38"/>
      <c r="P380" s="38"/>
      <c r="Q380" s="38"/>
      <c r="R380" s="38"/>
      <c r="S380" s="38"/>
      <c r="T380" s="38"/>
      <c r="U380" s="38"/>
    </row>
    <row r="381" spans="1:21">
      <c r="A381" s="38"/>
      <c r="B381" s="38"/>
      <c r="C381" s="38"/>
      <c r="D381" s="38"/>
      <c r="E381" s="38"/>
      <c r="F381" s="38"/>
      <c r="G381" s="38"/>
      <c r="H381" s="38"/>
      <c r="I381" s="38"/>
      <c r="J381" s="38"/>
      <c r="K381" s="38"/>
      <c r="L381" s="38"/>
      <c r="M381" s="38"/>
      <c r="N381" s="38"/>
      <c r="O381" s="38"/>
      <c r="P381" s="38"/>
      <c r="Q381" s="38"/>
      <c r="R381" s="38"/>
      <c r="S381" s="38"/>
      <c r="T381" s="38"/>
      <c r="U381" s="38"/>
    </row>
    <row r="382" spans="1:21">
      <c r="A382" s="38"/>
      <c r="B382" s="38"/>
      <c r="C382" s="38"/>
      <c r="D382" s="38"/>
      <c r="E382" s="38"/>
      <c r="F382" s="38"/>
      <c r="G382" s="38"/>
      <c r="H382" s="38"/>
      <c r="I382" s="38"/>
      <c r="J382" s="38"/>
      <c r="K382" s="38"/>
      <c r="L382" s="38"/>
      <c r="M382" s="38"/>
      <c r="N382" s="38"/>
      <c r="O382" s="38"/>
      <c r="P382" s="38"/>
      <c r="Q382" s="38"/>
      <c r="R382" s="38"/>
      <c r="S382" s="38"/>
      <c r="T382" s="38"/>
      <c r="U382" s="38"/>
    </row>
    <row r="383" spans="1:21">
      <c r="A383" s="38"/>
      <c r="B383" s="38"/>
      <c r="C383" s="38"/>
      <c r="D383" s="38"/>
      <c r="E383" s="38"/>
      <c r="F383" s="38"/>
      <c r="G383" s="38"/>
      <c r="H383" s="38"/>
      <c r="I383" s="38"/>
      <c r="J383" s="38"/>
      <c r="K383" s="38"/>
      <c r="L383" s="38"/>
      <c r="M383" s="38"/>
      <c r="N383" s="38"/>
      <c r="O383" s="38"/>
      <c r="P383" s="38"/>
      <c r="Q383" s="38"/>
      <c r="R383" s="38"/>
      <c r="S383" s="38"/>
      <c r="T383" s="38"/>
      <c r="U383" s="38"/>
    </row>
    <row r="384" spans="1:21">
      <c r="A384" s="94"/>
      <c r="B384" s="94"/>
      <c r="C384" s="94"/>
      <c r="D384" s="94"/>
      <c r="E384" s="94"/>
      <c r="F384" s="94"/>
      <c r="G384" s="94"/>
      <c r="H384" s="94"/>
      <c r="I384" s="94"/>
      <c r="J384" s="94"/>
      <c r="K384" s="94"/>
      <c r="L384" s="94"/>
      <c r="M384" s="94"/>
      <c r="N384" s="94"/>
      <c r="O384" s="94"/>
      <c r="P384" s="94"/>
      <c r="Q384" s="94"/>
      <c r="R384" s="94"/>
      <c r="S384" s="94"/>
      <c r="T384" s="94"/>
      <c r="U384" s="94"/>
    </row>
    <row r="385" spans="1:21">
      <c r="A385" s="94"/>
      <c r="B385" s="94"/>
      <c r="C385" s="94"/>
      <c r="D385" s="94"/>
      <c r="E385" s="94"/>
      <c r="F385" s="94"/>
      <c r="G385" s="94"/>
      <c r="H385" s="94"/>
      <c r="I385" s="94"/>
      <c r="J385" s="94"/>
      <c r="K385" s="94"/>
      <c r="L385" s="94"/>
      <c r="M385" s="94"/>
      <c r="N385" s="94"/>
      <c r="O385" s="94"/>
      <c r="P385" s="94"/>
      <c r="Q385" s="94"/>
      <c r="R385" s="94"/>
      <c r="S385" s="94"/>
      <c r="T385" s="94"/>
      <c r="U385" s="94"/>
    </row>
    <row r="386" spans="1:21">
      <c r="A386" s="94"/>
      <c r="B386" s="94"/>
      <c r="C386" s="94"/>
      <c r="D386" s="94"/>
      <c r="E386" s="94"/>
      <c r="F386" s="94"/>
      <c r="G386" s="94"/>
      <c r="H386" s="94"/>
      <c r="I386" s="94"/>
      <c r="J386" s="94"/>
      <c r="K386" s="94"/>
      <c r="L386" s="94"/>
      <c r="M386" s="94"/>
      <c r="N386" s="94"/>
      <c r="O386" s="94"/>
      <c r="P386" s="94"/>
      <c r="Q386" s="94"/>
      <c r="R386" s="94"/>
      <c r="S386" s="94"/>
      <c r="T386" s="94"/>
      <c r="U386" s="94"/>
    </row>
    <row r="387" spans="1:21">
      <c r="A387" s="94"/>
      <c r="B387" s="94"/>
      <c r="C387" s="94"/>
      <c r="D387" s="94"/>
      <c r="E387" s="94"/>
      <c r="F387" s="94"/>
      <c r="G387" s="94"/>
      <c r="H387" s="94"/>
      <c r="I387" s="94"/>
      <c r="J387" s="94"/>
      <c r="K387" s="94"/>
      <c r="L387" s="94"/>
      <c r="M387" s="94"/>
      <c r="N387" s="94"/>
      <c r="O387" s="94"/>
      <c r="P387" s="94"/>
      <c r="Q387" s="94"/>
      <c r="R387" s="94"/>
      <c r="S387" s="94"/>
      <c r="T387" s="94"/>
      <c r="U387" s="94"/>
    </row>
    <row r="388" spans="1:21">
      <c r="A388" s="94"/>
      <c r="B388" s="94"/>
      <c r="C388" s="94"/>
      <c r="D388" s="94"/>
      <c r="E388" s="94"/>
      <c r="F388" s="94"/>
      <c r="G388" s="94"/>
      <c r="H388" s="94"/>
      <c r="I388" s="94"/>
      <c r="J388" s="94"/>
      <c r="K388" s="94"/>
      <c r="L388" s="94"/>
      <c r="M388" s="94"/>
      <c r="N388" s="94"/>
      <c r="O388" s="94"/>
      <c r="P388" s="94"/>
      <c r="Q388" s="94"/>
      <c r="R388" s="94"/>
      <c r="S388" s="94"/>
      <c r="T388" s="94"/>
      <c r="U388" s="94"/>
    </row>
    <row r="389" spans="1:21">
      <c r="A389" s="94"/>
      <c r="B389" s="94"/>
      <c r="C389" s="94"/>
      <c r="D389" s="94"/>
      <c r="E389" s="94"/>
      <c r="F389" s="94"/>
      <c r="G389" s="94"/>
      <c r="H389" s="94"/>
      <c r="I389" s="94"/>
      <c r="J389" s="94"/>
      <c r="K389" s="94"/>
      <c r="L389" s="94"/>
      <c r="M389" s="94"/>
      <c r="N389" s="94"/>
      <c r="O389" s="94"/>
      <c r="P389" s="94"/>
      <c r="Q389" s="94"/>
      <c r="R389" s="94"/>
      <c r="S389" s="94"/>
      <c r="T389" s="94"/>
      <c r="U389" s="94"/>
    </row>
    <row r="390" spans="1:21">
      <c r="A390" s="94"/>
      <c r="B390" s="94"/>
      <c r="C390" s="94"/>
      <c r="D390" s="94"/>
      <c r="E390" s="94"/>
      <c r="F390" s="94"/>
      <c r="G390" s="94"/>
      <c r="H390" s="94"/>
      <c r="I390" s="94"/>
      <c r="J390" s="94"/>
      <c r="K390" s="94"/>
      <c r="L390" s="94"/>
      <c r="M390" s="94"/>
      <c r="N390" s="94"/>
      <c r="O390" s="94"/>
      <c r="P390" s="94"/>
      <c r="Q390" s="94"/>
      <c r="R390" s="94"/>
      <c r="S390" s="94"/>
      <c r="T390" s="94"/>
      <c r="U390" s="94"/>
    </row>
    <row r="391" spans="1:21">
      <c r="A391" s="94"/>
      <c r="B391" s="94"/>
      <c r="C391" s="94"/>
      <c r="D391" s="94"/>
      <c r="E391" s="94"/>
      <c r="F391" s="94"/>
      <c r="G391" s="94"/>
      <c r="H391" s="94"/>
      <c r="I391" s="94"/>
      <c r="J391" s="94"/>
      <c r="K391" s="94"/>
      <c r="L391" s="94"/>
      <c r="M391" s="94"/>
      <c r="N391" s="94"/>
      <c r="O391" s="94"/>
      <c r="P391" s="94"/>
      <c r="Q391" s="94"/>
      <c r="R391" s="94"/>
      <c r="S391" s="94"/>
      <c r="T391" s="94"/>
      <c r="U391" s="94"/>
    </row>
    <row r="392" spans="1:21">
      <c r="A392" s="94"/>
      <c r="B392" s="94"/>
      <c r="C392" s="94"/>
      <c r="D392" s="94"/>
      <c r="E392" s="94"/>
      <c r="F392" s="94"/>
      <c r="G392" s="94"/>
      <c r="H392" s="94"/>
      <c r="I392" s="94"/>
      <c r="J392" s="94"/>
      <c r="K392" s="94"/>
      <c r="L392" s="94"/>
      <c r="M392" s="94"/>
      <c r="N392" s="94"/>
      <c r="O392" s="94"/>
      <c r="P392" s="94"/>
      <c r="Q392" s="94"/>
      <c r="R392" s="94"/>
      <c r="S392" s="94"/>
      <c r="T392" s="94"/>
      <c r="U392" s="94"/>
    </row>
    <row r="393" spans="1:21">
      <c r="A393" s="94"/>
      <c r="B393" s="94"/>
      <c r="C393" s="94"/>
      <c r="D393" s="94"/>
      <c r="E393" s="94"/>
      <c r="F393" s="94"/>
      <c r="G393" s="94"/>
      <c r="H393" s="94"/>
      <c r="I393" s="94"/>
      <c r="J393" s="94"/>
      <c r="K393" s="94"/>
      <c r="L393" s="94"/>
      <c r="M393" s="94"/>
      <c r="N393" s="94"/>
      <c r="O393" s="94"/>
      <c r="P393" s="94"/>
      <c r="Q393" s="94"/>
      <c r="R393" s="94"/>
      <c r="S393" s="94"/>
      <c r="T393" s="94"/>
      <c r="U393" s="94"/>
    </row>
    <row r="394" spans="1:21">
      <c r="A394" s="94"/>
      <c r="B394" s="94"/>
      <c r="C394" s="94"/>
      <c r="D394" s="94"/>
      <c r="E394" s="94"/>
      <c r="F394" s="94"/>
      <c r="G394" s="94"/>
      <c r="H394" s="94"/>
      <c r="I394" s="94"/>
      <c r="J394" s="94"/>
      <c r="K394" s="94"/>
      <c r="L394" s="94"/>
      <c r="M394" s="94"/>
      <c r="N394" s="94"/>
      <c r="O394" s="94"/>
      <c r="P394" s="94"/>
      <c r="Q394" s="94"/>
      <c r="R394" s="94"/>
      <c r="S394" s="94"/>
      <c r="T394" s="94"/>
      <c r="U394" s="94"/>
    </row>
    <row r="395" spans="1:21">
      <c r="A395" s="94"/>
      <c r="B395" s="94"/>
      <c r="C395" s="94"/>
      <c r="D395" s="94"/>
      <c r="E395" s="94"/>
      <c r="F395" s="94"/>
      <c r="G395" s="94"/>
      <c r="H395" s="94"/>
      <c r="I395" s="94"/>
      <c r="J395" s="94"/>
      <c r="K395" s="94"/>
      <c r="L395" s="94"/>
      <c r="M395" s="94"/>
      <c r="N395" s="94"/>
      <c r="O395" s="94"/>
      <c r="P395" s="94"/>
      <c r="Q395" s="94"/>
      <c r="R395" s="94"/>
      <c r="S395" s="94"/>
      <c r="T395" s="94"/>
      <c r="U395" s="94"/>
    </row>
    <row r="396" spans="1:21">
      <c r="A396" s="94"/>
      <c r="B396" s="94"/>
      <c r="C396" s="94"/>
      <c r="D396" s="94"/>
      <c r="E396" s="94"/>
      <c r="F396" s="94"/>
      <c r="G396" s="94"/>
      <c r="H396" s="94"/>
      <c r="I396" s="94"/>
      <c r="J396" s="94"/>
      <c r="K396" s="94"/>
      <c r="L396" s="94"/>
      <c r="M396" s="94"/>
      <c r="N396" s="94"/>
      <c r="O396" s="94"/>
      <c r="P396" s="94"/>
      <c r="Q396" s="94"/>
      <c r="R396" s="94"/>
      <c r="S396" s="94"/>
      <c r="T396" s="94"/>
      <c r="U396" s="94"/>
    </row>
    <row r="397" spans="1:21">
      <c r="A397" s="94"/>
      <c r="B397" s="94"/>
      <c r="C397" s="94"/>
      <c r="D397" s="94"/>
      <c r="E397" s="94"/>
      <c r="F397" s="94"/>
      <c r="G397" s="94"/>
      <c r="H397" s="94"/>
      <c r="I397" s="94"/>
      <c r="J397" s="94"/>
      <c r="K397" s="94"/>
      <c r="L397" s="94"/>
      <c r="M397" s="94"/>
      <c r="N397" s="94"/>
      <c r="O397" s="94"/>
      <c r="P397" s="94"/>
      <c r="Q397" s="94"/>
      <c r="R397" s="94"/>
      <c r="S397" s="94"/>
      <c r="T397" s="94"/>
      <c r="U397" s="94"/>
    </row>
    <row r="398" spans="1:21">
      <c r="A398" s="94"/>
      <c r="B398" s="94"/>
      <c r="C398" s="94"/>
      <c r="D398" s="94"/>
      <c r="E398" s="94"/>
      <c r="F398" s="94"/>
      <c r="G398" s="94"/>
      <c r="H398" s="94"/>
      <c r="I398" s="94"/>
      <c r="J398" s="94"/>
      <c r="K398" s="94"/>
      <c r="L398" s="94"/>
      <c r="M398" s="94"/>
      <c r="N398" s="94"/>
      <c r="O398" s="94"/>
      <c r="P398" s="94"/>
      <c r="Q398" s="94"/>
      <c r="R398" s="94"/>
      <c r="S398" s="94"/>
      <c r="T398" s="94"/>
      <c r="U398" s="94"/>
    </row>
    <row r="399" spans="1:21">
      <c r="A399" s="94"/>
      <c r="B399" s="94"/>
      <c r="C399" s="94"/>
      <c r="D399" s="94"/>
      <c r="E399" s="94"/>
      <c r="F399" s="94"/>
      <c r="G399" s="94"/>
      <c r="H399" s="94"/>
      <c r="I399" s="94"/>
      <c r="J399" s="94"/>
      <c r="K399" s="94"/>
      <c r="L399" s="94"/>
      <c r="M399" s="94"/>
      <c r="N399" s="94"/>
      <c r="O399" s="94"/>
      <c r="P399" s="94"/>
      <c r="Q399" s="94"/>
      <c r="R399" s="94"/>
      <c r="S399" s="94"/>
      <c r="T399" s="94"/>
      <c r="U399" s="94"/>
    </row>
    <row r="400" spans="1:21">
      <c r="A400" s="94"/>
      <c r="B400" s="94"/>
      <c r="C400" s="94"/>
      <c r="D400" s="94"/>
      <c r="E400" s="94"/>
      <c r="F400" s="94"/>
      <c r="G400" s="94"/>
      <c r="H400" s="94"/>
      <c r="I400" s="94"/>
      <c r="J400" s="94"/>
      <c r="K400" s="94"/>
      <c r="L400" s="94"/>
      <c r="M400" s="94"/>
      <c r="N400" s="94"/>
      <c r="O400" s="94"/>
      <c r="P400" s="94"/>
      <c r="Q400" s="94"/>
      <c r="R400" s="94"/>
      <c r="S400" s="94"/>
      <c r="T400" s="94"/>
      <c r="U400" s="94"/>
    </row>
    <row r="401" spans="1:21">
      <c r="A401" s="94"/>
      <c r="B401" s="94"/>
      <c r="C401" s="94"/>
      <c r="D401" s="94"/>
      <c r="E401" s="94"/>
      <c r="F401" s="94"/>
      <c r="G401" s="94"/>
      <c r="H401" s="94"/>
      <c r="I401" s="94"/>
      <c r="J401" s="94"/>
      <c r="K401" s="94"/>
      <c r="L401" s="94"/>
      <c r="M401" s="94"/>
      <c r="N401" s="94"/>
      <c r="O401" s="94"/>
      <c r="P401" s="94"/>
      <c r="Q401" s="94"/>
      <c r="R401" s="94"/>
      <c r="S401" s="94"/>
      <c r="T401" s="94"/>
      <c r="U401" s="94"/>
    </row>
    <row r="402" spans="1:21">
      <c r="A402" s="94"/>
      <c r="B402" s="94"/>
      <c r="C402" s="94"/>
      <c r="D402" s="94"/>
      <c r="E402" s="94"/>
      <c r="F402" s="94"/>
      <c r="G402" s="94"/>
      <c r="H402" s="94"/>
      <c r="I402" s="94"/>
      <c r="J402" s="94"/>
      <c r="K402" s="94"/>
      <c r="L402" s="94"/>
      <c r="M402" s="94"/>
      <c r="N402" s="94"/>
      <c r="O402" s="94"/>
      <c r="P402" s="94"/>
      <c r="Q402" s="94"/>
      <c r="R402" s="94"/>
      <c r="S402" s="94"/>
      <c r="T402" s="94"/>
      <c r="U402" s="94"/>
    </row>
    <row r="403" spans="1:21">
      <c r="A403" s="94"/>
      <c r="B403" s="94"/>
      <c r="C403" s="94"/>
      <c r="D403" s="94"/>
      <c r="E403" s="94"/>
      <c r="F403" s="94"/>
      <c r="G403" s="94"/>
      <c r="H403" s="94"/>
      <c r="I403" s="94"/>
      <c r="J403" s="94"/>
      <c r="K403" s="94"/>
      <c r="L403" s="94"/>
      <c r="M403" s="94"/>
      <c r="N403" s="94"/>
      <c r="O403" s="94"/>
      <c r="P403" s="94"/>
      <c r="Q403" s="94"/>
      <c r="R403" s="94"/>
      <c r="S403" s="94"/>
      <c r="T403" s="94"/>
      <c r="U403" s="94"/>
    </row>
    <row r="404" spans="1:21">
      <c r="A404" s="94"/>
      <c r="B404" s="94"/>
      <c r="C404" s="94"/>
      <c r="D404" s="94"/>
      <c r="E404" s="94"/>
      <c r="F404" s="94"/>
      <c r="G404" s="94"/>
      <c r="H404" s="94"/>
      <c r="I404" s="94"/>
      <c r="J404" s="94"/>
      <c r="K404" s="94"/>
      <c r="L404" s="94"/>
      <c r="M404" s="94"/>
      <c r="N404" s="94"/>
      <c r="O404" s="94"/>
      <c r="P404" s="94"/>
      <c r="Q404" s="94"/>
      <c r="R404" s="94"/>
      <c r="S404" s="94"/>
      <c r="T404" s="94"/>
      <c r="U404" s="94"/>
    </row>
    <row r="405" spans="1:21">
      <c r="A405" s="94"/>
      <c r="B405" s="94"/>
      <c r="C405" s="94"/>
      <c r="D405" s="94"/>
      <c r="E405" s="94"/>
      <c r="F405" s="94"/>
      <c r="G405" s="94"/>
      <c r="H405" s="94"/>
      <c r="I405" s="94"/>
      <c r="J405" s="94"/>
      <c r="K405" s="94"/>
      <c r="L405" s="94"/>
      <c r="M405" s="94"/>
      <c r="N405" s="94"/>
      <c r="O405" s="94"/>
      <c r="P405" s="94"/>
      <c r="Q405" s="94"/>
      <c r="R405" s="94"/>
      <c r="S405" s="94"/>
      <c r="T405" s="94"/>
      <c r="U405" s="94"/>
    </row>
    <row r="406" spans="1:21">
      <c r="A406" s="94"/>
      <c r="B406" s="94"/>
      <c r="C406" s="94"/>
      <c r="D406" s="94"/>
      <c r="E406" s="94"/>
      <c r="F406" s="94"/>
      <c r="G406" s="94"/>
      <c r="H406" s="94"/>
      <c r="I406" s="94"/>
      <c r="J406" s="94"/>
      <c r="K406" s="94"/>
      <c r="L406" s="94"/>
      <c r="M406" s="94"/>
      <c r="N406" s="94"/>
      <c r="O406" s="94"/>
      <c r="P406" s="94"/>
      <c r="Q406" s="94"/>
      <c r="R406" s="94"/>
      <c r="S406" s="94"/>
      <c r="T406" s="94"/>
      <c r="U406" s="94"/>
    </row>
    <row r="407" spans="1:21">
      <c r="A407" s="94"/>
      <c r="B407" s="94"/>
      <c r="C407" s="94"/>
      <c r="D407" s="94"/>
      <c r="E407" s="94"/>
      <c r="F407" s="94"/>
      <c r="G407" s="94"/>
      <c r="H407" s="94"/>
      <c r="I407" s="94"/>
      <c r="J407" s="94"/>
      <c r="K407" s="94"/>
      <c r="L407" s="94"/>
      <c r="M407" s="94"/>
      <c r="N407" s="94"/>
      <c r="O407" s="94"/>
      <c r="P407" s="94"/>
      <c r="Q407" s="94"/>
      <c r="R407" s="94"/>
      <c r="S407" s="94"/>
      <c r="T407" s="94"/>
      <c r="U407" s="94"/>
    </row>
    <row r="408" spans="1:21">
      <c r="A408" s="94"/>
      <c r="B408" s="94"/>
      <c r="C408" s="94"/>
      <c r="D408" s="94"/>
      <c r="E408" s="94"/>
      <c r="F408" s="94"/>
      <c r="G408" s="94"/>
      <c r="H408" s="94"/>
      <c r="I408" s="94"/>
      <c r="J408" s="94"/>
      <c r="K408" s="94"/>
      <c r="L408" s="94"/>
      <c r="M408" s="94"/>
      <c r="N408" s="94"/>
      <c r="O408" s="94"/>
      <c r="P408" s="94"/>
      <c r="Q408" s="94"/>
      <c r="R408" s="94"/>
      <c r="S408" s="94"/>
      <c r="T408" s="94"/>
      <c r="U408" s="94"/>
    </row>
    <row r="409" spans="1:21">
      <c r="A409" s="94"/>
      <c r="B409" s="94"/>
      <c r="C409" s="94"/>
      <c r="D409" s="94"/>
      <c r="E409" s="94"/>
      <c r="F409" s="94"/>
      <c r="G409" s="94"/>
      <c r="H409" s="94"/>
      <c r="I409" s="94"/>
      <c r="J409" s="94"/>
      <c r="K409" s="94"/>
      <c r="L409" s="94"/>
      <c r="M409" s="94"/>
      <c r="N409" s="94"/>
      <c r="O409" s="94"/>
      <c r="P409" s="94"/>
      <c r="Q409" s="94"/>
      <c r="R409" s="94"/>
      <c r="S409" s="94"/>
      <c r="T409" s="94"/>
      <c r="U409" s="94"/>
    </row>
    <row r="410" spans="1:21">
      <c r="A410" s="94"/>
      <c r="B410" s="94"/>
      <c r="C410" s="94"/>
      <c r="D410" s="94"/>
      <c r="E410" s="94"/>
      <c r="F410" s="94"/>
      <c r="G410" s="94"/>
      <c r="H410" s="94"/>
      <c r="I410" s="94"/>
      <c r="J410" s="94"/>
      <c r="K410" s="94"/>
      <c r="L410" s="94"/>
      <c r="M410" s="94"/>
      <c r="N410" s="94"/>
      <c r="O410" s="94"/>
      <c r="P410" s="94"/>
      <c r="Q410" s="94"/>
      <c r="R410" s="94"/>
      <c r="S410" s="94"/>
      <c r="T410" s="94"/>
      <c r="U410" s="94"/>
    </row>
    <row r="411" spans="1:21">
      <c r="A411" s="94"/>
      <c r="B411" s="94"/>
      <c r="C411" s="94"/>
      <c r="D411" s="94"/>
      <c r="E411" s="94"/>
      <c r="F411" s="94"/>
      <c r="G411" s="94"/>
      <c r="H411" s="94"/>
      <c r="I411" s="94"/>
      <c r="J411" s="94"/>
      <c r="K411" s="94"/>
      <c r="L411" s="94"/>
      <c r="M411" s="94"/>
      <c r="N411" s="94"/>
      <c r="O411" s="94"/>
      <c r="P411" s="94"/>
      <c r="Q411" s="94"/>
      <c r="R411" s="94"/>
      <c r="S411" s="94"/>
      <c r="T411" s="94"/>
      <c r="U411" s="94"/>
    </row>
    <row r="412" spans="1:21">
      <c r="A412" s="94"/>
      <c r="B412" s="94"/>
      <c r="C412" s="94"/>
      <c r="D412" s="94"/>
      <c r="E412" s="94"/>
      <c r="F412" s="94"/>
      <c r="G412" s="94"/>
      <c r="H412" s="94"/>
      <c r="I412" s="94"/>
      <c r="J412" s="94"/>
      <c r="K412" s="94"/>
      <c r="L412" s="94"/>
      <c r="M412" s="94"/>
      <c r="N412" s="94"/>
      <c r="O412" s="94"/>
      <c r="P412" s="94"/>
      <c r="Q412" s="94"/>
      <c r="R412" s="94"/>
      <c r="S412" s="94"/>
      <c r="T412" s="94"/>
      <c r="U412" s="94"/>
    </row>
    <row r="413" spans="1:21">
      <c r="A413" s="94"/>
      <c r="B413" s="94"/>
      <c r="C413" s="94"/>
      <c r="D413" s="94"/>
      <c r="E413" s="94"/>
      <c r="F413" s="94"/>
      <c r="G413" s="94"/>
      <c r="H413" s="94"/>
      <c r="I413" s="94"/>
      <c r="J413" s="94"/>
      <c r="K413" s="94"/>
      <c r="L413" s="94"/>
      <c r="M413" s="94"/>
      <c r="N413" s="94"/>
      <c r="O413" s="94"/>
      <c r="P413" s="94"/>
      <c r="Q413" s="94"/>
      <c r="R413" s="94"/>
      <c r="S413" s="94"/>
      <c r="T413" s="94"/>
      <c r="U413" s="94"/>
    </row>
    <row r="414" spans="1:21">
      <c r="A414" s="94"/>
      <c r="B414" s="94"/>
      <c r="C414" s="94"/>
      <c r="D414" s="94"/>
      <c r="E414" s="94"/>
      <c r="F414" s="94"/>
      <c r="G414" s="94"/>
      <c r="H414" s="94"/>
      <c r="I414" s="94"/>
      <c r="J414" s="94"/>
      <c r="K414" s="94"/>
      <c r="L414" s="94"/>
      <c r="M414" s="94"/>
      <c r="N414" s="94"/>
      <c r="O414" s="94"/>
      <c r="P414" s="94"/>
      <c r="Q414" s="94"/>
      <c r="R414" s="94"/>
      <c r="S414" s="94"/>
      <c r="T414" s="94"/>
      <c r="U414" s="94"/>
    </row>
    <row r="415" spans="1:21">
      <c r="A415" s="94"/>
      <c r="B415" s="94"/>
      <c r="C415" s="94"/>
      <c r="D415" s="94"/>
      <c r="E415" s="94"/>
      <c r="F415" s="94"/>
      <c r="G415" s="94"/>
      <c r="H415" s="94"/>
      <c r="I415" s="94"/>
      <c r="J415" s="94"/>
      <c r="K415" s="94"/>
      <c r="L415" s="94"/>
      <c r="M415" s="94"/>
      <c r="N415" s="94"/>
      <c r="O415" s="94"/>
      <c r="P415" s="94"/>
      <c r="Q415" s="94"/>
      <c r="R415" s="94"/>
      <c r="S415" s="94"/>
      <c r="T415" s="94"/>
      <c r="U415" s="94"/>
    </row>
    <row r="416" spans="1:21">
      <c r="A416" s="94"/>
      <c r="B416" s="94"/>
      <c r="C416" s="94"/>
      <c r="D416" s="94"/>
      <c r="E416" s="94"/>
      <c r="F416" s="94"/>
      <c r="G416" s="94"/>
      <c r="H416" s="94"/>
      <c r="I416" s="94"/>
      <c r="J416" s="94"/>
      <c r="K416" s="94"/>
      <c r="L416" s="94"/>
      <c r="M416" s="94"/>
      <c r="N416" s="94"/>
      <c r="O416" s="94"/>
      <c r="P416" s="94"/>
      <c r="Q416" s="94"/>
      <c r="R416" s="94"/>
      <c r="S416" s="94"/>
      <c r="T416" s="94"/>
      <c r="U416" s="94"/>
    </row>
    <row r="417" spans="1:21">
      <c r="A417" s="94"/>
      <c r="B417" s="94"/>
      <c r="C417" s="94"/>
      <c r="D417" s="94"/>
      <c r="E417" s="94"/>
      <c r="F417" s="94"/>
      <c r="G417" s="94"/>
      <c r="H417" s="94"/>
      <c r="I417" s="94"/>
      <c r="J417" s="94"/>
      <c r="K417" s="94"/>
      <c r="L417" s="94"/>
      <c r="M417" s="94"/>
      <c r="N417" s="94"/>
      <c r="O417" s="94"/>
      <c r="P417" s="94"/>
      <c r="Q417" s="94"/>
      <c r="R417" s="94"/>
      <c r="S417" s="94"/>
      <c r="T417" s="94"/>
      <c r="U417" s="94"/>
    </row>
    <row r="418" spans="1:21">
      <c r="A418" s="94"/>
      <c r="B418" s="94"/>
      <c r="C418" s="94"/>
      <c r="D418" s="94"/>
      <c r="E418" s="94"/>
      <c r="F418" s="94"/>
      <c r="G418" s="94"/>
      <c r="H418" s="94"/>
      <c r="I418" s="94"/>
      <c r="J418" s="94"/>
      <c r="K418" s="94"/>
      <c r="L418" s="94"/>
      <c r="M418" s="94"/>
      <c r="N418" s="94"/>
      <c r="O418" s="94"/>
      <c r="P418" s="94"/>
      <c r="Q418" s="94"/>
      <c r="R418" s="94"/>
      <c r="S418" s="94"/>
      <c r="T418" s="94"/>
      <c r="U418" s="94"/>
    </row>
    <row r="419" spans="1:21">
      <c r="A419" s="94"/>
      <c r="B419" s="94"/>
      <c r="C419" s="94"/>
      <c r="D419" s="94"/>
      <c r="E419" s="94"/>
      <c r="F419" s="94"/>
      <c r="G419" s="94"/>
      <c r="H419" s="94"/>
      <c r="I419" s="94"/>
      <c r="J419" s="94"/>
      <c r="K419" s="94"/>
      <c r="L419" s="94"/>
      <c r="M419" s="94"/>
      <c r="N419" s="94"/>
      <c r="O419" s="94"/>
      <c r="P419" s="94"/>
      <c r="Q419" s="94"/>
      <c r="R419" s="94"/>
      <c r="S419" s="94"/>
      <c r="T419" s="94"/>
      <c r="U419" s="94"/>
    </row>
    <row r="420" spans="1:21">
      <c r="A420" s="94"/>
      <c r="B420" s="94"/>
      <c r="C420" s="94"/>
      <c r="D420" s="94"/>
      <c r="E420" s="94"/>
      <c r="F420" s="94"/>
      <c r="G420" s="94"/>
      <c r="H420" s="94"/>
      <c r="I420" s="94"/>
      <c r="J420" s="94"/>
      <c r="K420" s="94"/>
      <c r="L420" s="94"/>
      <c r="M420" s="94"/>
      <c r="N420" s="94"/>
      <c r="O420" s="94"/>
      <c r="P420" s="94"/>
      <c r="Q420" s="94"/>
      <c r="R420" s="94"/>
      <c r="S420" s="94"/>
      <c r="T420" s="94"/>
      <c r="U420" s="94"/>
    </row>
    <row r="421" spans="1:21">
      <c r="A421" s="94"/>
      <c r="B421" s="94"/>
      <c r="C421" s="94"/>
      <c r="D421" s="94"/>
      <c r="E421" s="94"/>
      <c r="F421" s="94"/>
      <c r="G421" s="94"/>
      <c r="H421" s="94"/>
      <c r="I421" s="94"/>
      <c r="J421" s="94"/>
      <c r="K421" s="94"/>
      <c r="L421" s="94"/>
      <c r="M421" s="94"/>
      <c r="N421" s="94"/>
      <c r="O421" s="94"/>
      <c r="P421" s="94"/>
      <c r="Q421" s="94"/>
      <c r="R421" s="94"/>
      <c r="S421" s="94"/>
      <c r="T421" s="94"/>
      <c r="U421" s="94"/>
    </row>
    <row r="422" spans="1:21">
      <c r="A422" s="94"/>
      <c r="B422" s="94"/>
      <c r="C422" s="94"/>
      <c r="D422" s="94"/>
      <c r="E422" s="94"/>
      <c r="F422" s="94"/>
      <c r="G422" s="94"/>
      <c r="H422" s="94"/>
      <c r="I422" s="94"/>
      <c r="J422" s="94"/>
      <c r="K422" s="94"/>
      <c r="L422" s="94"/>
      <c r="M422" s="94"/>
      <c r="N422" s="94"/>
      <c r="O422" s="94"/>
      <c r="P422" s="94"/>
      <c r="Q422" s="94"/>
      <c r="R422" s="94"/>
      <c r="S422" s="94"/>
      <c r="T422" s="94"/>
      <c r="U422" s="94"/>
    </row>
    <row r="423" spans="1:21">
      <c r="A423" s="94"/>
      <c r="B423" s="94"/>
      <c r="C423" s="94"/>
      <c r="D423" s="94"/>
      <c r="E423" s="94"/>
      <c r="F423" s="94"/>
      <c r="G423" s="94"/>
      <c r="H423" s="94"/>
      <c r="I423" s="94"/>
      <c r="J423" s="94"/>
      <c r="K423" s="94"/>
      <c r="L423" s="94"/>
      <c r="M423" s="94"/>
      <c r="N423" s="94"/>
      <c r="O423" s="94"/>
      <c r="P423" s="94"/>
      <c r="Q423" s="94"/>
      <c r="R423" s="94"/>
      <c r="S423" s="94"/>
      <c r="T423" s="94"/>
      <c r="U423" s="94"/>
    </row>
    <row r="424" spans="1:21">
      <c r="A424" s="94"/>
      <c r="B424" s="94"/>
      <c r="C424" s="94"/>
      <c r="D424" s="94"/>
      <c r="E424" s="94"/>
      <c r="F424" s="94"/>
      <c r="G424" s="94"/>
      <c r="H424" s="94"/>
      <c r="I424" s="94"/>
      <c r="J424" s="94"/>
      <c r="K424" s="94"/>
      <c r="L424" s="94"/>
      <c r="M424" s="94"/>
      <c r="N424" s="94"/>
      <c r="O424" s="94"/>
      <c r="P424" s="94"/>
      <c r="Q424" s="94"/>
      <c r="R424" s="94"/>
      <c r="S424" s="94"/>
      <c r="T424" s="94"/>
      <c r="U424" s="94"/>
    </row>
    <row r="425" spans="1:21">
      <c r="A425" s="94"/>
      <c r="B425" s="94"/>
      <c r="C425" s="94"/>
      <c r="D425" s="94"/>
      <c r="E425" s="94"/>
      <c r="F425" s="94"/>
      <c r="G425" s="94"/>
      <c r="H425" s="94"/>
      <c r="I425" s="94"/>
      <c r="J425" s="94"/>
      <c r="K425" s="94"/>
      <c r="L425" s="94"/>
      <c r="M425" s="94"/>
      <c r="N425" s="94"/>
      <c r="O425" s="94"/>
      <c r="P425" s="94"/>
      <c r="Q425" s="94"/>
      <c r="R425" s="94"/>
      <c r="S425" s="94"/>
      <c r="T425" s="94"/>
      <c r="U425" s="94"/>
    </row>
    <row r="426" spans="1:21">
      <c r="A426" s="94"/>
      <c r="B426" s="94"/>
      <c r="C426" s="94"/>
      <c r="D426" s="94"/>
      <c r="E426" s="94"/>
      <c r="F426" s="94"/>
      <c r="G426" s="94"/>
      <c r="H426" s="94"/>
      <c r="I426" s="94"/>
      <c r="J426" s="94"/>
      <c r="K426" s="94"/>
      <c r="L426" s="94"/>
      <c r="M426" s="94"/>
      <c r="N426" s="94"/>
      <c r="O426" s="94"/>
      <c r="P426" s="94"/>
      <c r="Q426" s="94"/>
      <c r="R426" s="94"/>
      <c r="S426" s="94"/>
      <c r="T426" s="94"/>
      <c r="U426" s="94"/>
    </row>
    <row r="427" spans="1:21">
      <c r="A427" s="94"/>
      <c r="B427" s="94"/>
      <c r="C427" s="94"/>
      <c r="D427" s="94"/>
      <c r="E427" s="94"/>
      <c r="F427" s="94"/>
      <c r="G427" s="94"/>
      <c r="H427" s="94"/>
      <c r="I427" s="94"/>
      <c r="J427" s="94"/>
      <c r="K427" s="94"/>
      <c r="L427" s="94"/>
      <c r="M427" s="94"/>
      <c r="N427" s="94"/>
      <c r="O427" s="94"/>
      <c r="P427" s="94"/>
      <c r="Q427" s="94"/>
      <c r="R427" s="94"/>
      <c r="S427" s="94"/>
      <c r="T427" s="94"/>
      <c r="U427" s="94"/>
    </row>
    <row r="428" spans="1:21">
      <c r="A428" s="94"/>
      <c r="B428" s="94"/>
      <c r="C428" s="94"/>
      <c r="D428" s="94"/>
      <c r="E428" s="94"/>
      <c r="F428" s="94"/>
      <c r="G428" s="94"/>
      <c r="H428" s="94"/>
      <c r="I428" s="94"/>
      <c r="J428" s="94"/>
      <c r="K428" s="94"/>
      <c r="L428" s="94"/>
      <c r="M428" s="94"/>
      <c r="N428" s="94"/>
      <c r="O428" s="94"/>
      <c r="P428" s="94"/>
      <c r="Q428" s="94"/>
      <c r="R428" s="94"/>
      <c r="S428" s="94"/>
      <c r="T428" s="94"/>
      <c r="U428" s="94"/>
    </row>
    <row r="429" spans="1:21">
      <c r="A429" s="94"/>
      <c r="B429" s="94"/>
      <c r="C429" s="94"/>
      <c r="D429" s="94"/>
      <c r="E429" s="94"/>
      <c r="F429" s="94"/>
      <c r="G429" s="94"/>
      <c r="H429" s="94"/>
      <c r="I429" s="94"/>
      <c r="J429" s="94"/>
      <c r="K429" s="94"/>
      <c r="L429" s="94"/>
      <c r="M429" s="94"/>
      <c r="N429" s="94"/>
      <c r="O429" s="94"/>
      <c r="P429" s="94"/>
      <c r="Q429" s="94"/>
      <c r="R429" s="94"/>
      <c r="S429" s="94"/>
      <c r="T429" s="94"/>
      <c r="U429" s="94"/>
    </row>
    <row r="430" spans="1:21">
      <c r="A430" s="94"/>
      <c r="B430" s="94"/>
      <c r="C430" s="94"/>
      <c r="D430" s="94"/>
      <c r="E430" s="94"/>
      <c r="F430" s="94"/>
      <c r="G430" s="94"/>
      <c r="H430" s="94"/>
      <c r="I430" s="94"/>
      <c r="J430" s="94"/>
      <c r="K430" s="94"/>
      <c r="L430" s="94"/>
      <c r="M430" s="94"/>
      <c r="N430" s="94"/>
      <c r="O430" s="94"/>
      <c r="P430" s="94"/>
      <c r="Q430" s="94"/>
      <c r="R430" s="94"/>
      <c r="S430" s="94"/>
      <c r="T430" s="94"/>
      <c r="U430" s="94"/>
    </row>
    <row r="431" spans="1:21">
      <c r="A431" s="94"/>
      <c r="B431" s="94"/>
      <c r="C431" s="94"/>
      <c r="D431" s="94"/>
      <c r="E431" s="94"/>
      <c r="F431" s="94"/>
      <c r="G431" s="94"/>
      <c r="H431" s="94"/>
      <c r="I431" s="94"/>
      <c r="J431" s="94"/>
      <c r="K431" s="94"/>
      <c r="L431" s="94"/>
      <c r="M431" s="94"/>
      <c r="N431" s="94"/>
      <c r="O431" s="94"/>
      <c r="P431" s="94"/>
      <c r="Q431" s="94"/>
      <c r="R431" s="94"/>
      <c r="S431" s="94"/>
      <c r="T431" s="94"/>
      <c r="U431" s="94"/>
    </row>
    <row r="432" spans="1:21">
      <c r="A432" s="94"/>
      <c r="B432" s="94"/>
      <c r="C432" s="94"/>
      <c r="D432" s="94"/>
      <c r="E432" s="94"/>
      <c r="F432" s="94"/>
      <c r="G432" s="94"/>
      <c r="H432" s="94"/>
      <c r="I432" s="94"/>
      <c r="J432" s="94"/>
      <c r="K432" s="94"/>
      <c r="L432" s="94"/>
      <c r="M432" s="94"/>
      <c r="N432" s="94"/>
      <c r="O432" s="94"/>
      <c r="P432" s="94"/>
      <c r="Q432" s="94"/>
      <c r="R432" s="94"/>
      <c r="S432" s="94"/>
      <c r="T432" s="94"/>
      <c r="U432" s="94"/>
    </row>
    <row r="433" spans="1:21">
      <c r="A433" s="94"/>
      <c r="B433" s="94"/>
      <c r="C433" s="94"/>
      <c r="D433" s="94"/>
      <c r="E433" s="94"/>
      <c r="F433" s="94"/>
      <c r="G433" s="94"/>
      <c r="H433" s="94"/>
      <c r="I433" s="94"/>
      <c r="J433" s="94"/>
      <c r="K433" s="94"/>
      <c r="L433" s="94"/>
      <c r="M433" s="94"/>
      <c r="N433" s="94"/>
      <c r="O433" s="94"/>
      <c r="P433" s="94"/>
      <c r="Q433" s="94"/>
      <c r="R433" s="94"/>
      <c r="S433" s="94"/>
      <c r="T433" s="94"/>
      <c r="U433" s="94"/>
    </row>
    <row r="434" spans="1:21">
      <c r="A434" s="94"/>
      <c r="B434" s="94"/>
      <c r="C434" s="94"/>
      <c r="D434" s="94"/>
      <c r="E434" s="94"/>
      <c r="F434" s="94"/>
      <c r="G434" s="94"/>
      <c r="H434" s="94"/>
      <c r="I434" s="94"/>
      <c r="J434" s="94"/>
      <c r="K434" s="94"/>
      <c r="L434" s="94"/>
      <c r="M434" s="94"/>
      <c r="N434" s="94"/>
      <c r="O434" s="94"/>
      <c r="P434" s="94"/>
      <c r="Q434" s="94"/>
      <c r="R434" s="94"/>
      <c r="S434" s="94"/>
      <c r="T434" s="94"/>
      <c r="U434" s="94"/>
    </row>
    <row r="435" spans="1:21">
      <c r="A435" s="94"/>
      <c r="B435" s="94"/>
      <c r="C435" s="94"/>
      <c r="D435" s="94"/>
      <c r="E435" s="94"/>
      <c r="F435" s="94"/>
      <c r="G435" s="94"/>
      <c r="H435" s="94"/>
      <c r="I435" s="94"/>
      <c r="J435" s="94"/>
      <c r="K435" s="94"/>
      <c r="L435" s="94"/>
      <c r="M435" s="94"/>
      <c r="N435" s="94"/>
      <c r="O435" s="94"/>
      <c r="P435" s="94"/>
      <c r="Q435" s="94"/>
      <c r="R435" s="94"/>
      <c r="S435" s="94"/>
      <c r="T435" s="94"/>
      <c r="U435" s="94"/>
    </row>
    <row r="436" spans="1:21">
      <c r="A436" s="94"/>
      <c r="B436" s="94"/>
      <c r="C436" s="94"/>
      <c r="D436" s="94"/>
      <c r="E436" s="94"/>
      <c r="F436" s="94"/>
      <c r="G436" s="94"/>
      <c r="H436" s="94"/>
      <c r="I436" s="94"/>
      <c r="J436" s="94"/>
      <c r="K436" s="94"/>
      <c r="L436" s="94"/>
      <c r="M436" s="94"/>
      <c r="N436" s="94"/>
      <c r="O436" s="94"/>
      <c r="P436" s="94"/>
      <c r="Q436" s="94"/>
      <c r="R436" s="94"/>
      <c r="S436" s="94"/>
      <c r="T436" s="94"/>
      <c r="U436" s="94"/>
    </row>
    <row r="437" spans="1:21">
      <c r="A437" s="94"/>
      <c r="B437" s="94"/>
      <c r="C437" s="94"/>
      <c r="D437" s="94"/>
      <c r="E437" s="94"/>
      <c r="F437" s="94"/>
      <c r="G437" s="94"/>
      <c r="H437" s="94"/>
      <c r="I437" s="94"/>
      <c r="J437" s="94"/>
      <c r="K437" s="94"/>
      <c r="L437" s="94"/>
      <c r="M437" s="94"/>
      <c r="N437" s="94"/>
      <c r="O437" s="94"/>
      <c r="P437" s="94"/>
      <c r="Q437" s="94"/>
      <c r="R437" s="94"/>
      <c r="S437" s="94"/>
      <c r="T437" s="94"/>
      <c r="U437" s="94"/>
    </row>
    <row r="438" spans="1:21">
      <c r="A438" s="94"/>
      <c r="B438" s="94"/>
      <c r="C438" s="94"/>
      <c r="D438" s="94"/>
      <c r="E438" s="94"/>
      <c r="F438" s="94"/>
      <c r="G438" s="94"/>
      <c r="H438" s="94"/>
      <c r="I438" s="94"/>
      <c r="J438" s="94"/>
      <c r="K438" s="94"/>
      <c r="L438" s="94"/>
      <c r="M438" s="94"/>
      <c r="N438" s="94"/>
      <c r="O438" s="94"/>
      <c r="P438" s="94"/>
      <c r="Q438" s="94"/>
      <c r="R438" s="94"/>
      <c r="S438" s="94"/>
      <c r="T438" s="94"/>
      <c r="U438" s="94"/>
    </row>
    <row r="439" spans="1:21">
      <c r="A439" s="94"/>
      <c r="B439" s="94"/>
      <c r="C439" s="94"/>
      <c r="D439" s="94"/>
      <c r="E439" s="94"/>
      <c r="F439" s="94"/>
      <c r="G439" s="94"/>
      <c r="H439" s="94"/>
      <c r="I439" s="94"/>
      <c r="J439" s="94"/>
      <c r="K439" s="94"/>
      <c r="L439" s="94"/>
      <c r="M439" s="94"/>
      <c r="N439" s="94"/>
      <c r="O439" s="94"/>
      <c r="P439" s="94"/>
      <c r="Q439" s="94"/>
      <c r="R439" s="94"/>
      <c r="S439" s="94"/>
      <c r="T439" s="94"/>
      <c r="U439" s="94"/>
    </row>
    <row r="440" spans="1:21">
      <c r="A440" s="94"/>
      <c r="B440" s="94"/>
      <c r="C440" s="94"/>
      <c r="D440" s="94"/>
      <c r="E440" s="94"/>
      <c r="F440" s="94"/>
      <c r="G440" s="94"/>
      <c r="H440" s="94"/>
      <c r="I440" s="94"/>
      <c r="J440" s="94"/>
      <c r="K440" s="94"/>
      <c r="L440" s="94"/>
      <c r="M440" s="94"/>
      <c r="N440" s="94"/>
      <c r="O440" s="94"/>
      <c r="P440" s="94"/>
      <c r="Q440" s="94"/>
      <c r="R440" s="94"/>
      <c r="S440" s="94"/>
      <c r="T440" s="94"/>
      <c r="U440" s="94"/>
    </row>
    <row r="441" spans="1:21">
      <c r="A441" s="94"/>
      <c r="B441" s="94"/>
      <c r="C441" s="94"/>
      <c r="D441" s="94"/>
      <c r="E441" s="94"/>
      <c r="F441" s="94"/>
      <c r="G441" s="94"/>
      <c r="H441" s="94"/>
      <c r="I441" s="94"/>
      <c r="J441" s="94"/>
      <c r="K441" s="94"/>
      <c r="L441" s="94"/>
      <c r="M441" s="94"/>
      <c r="N441" s="94"/>
      <c r="O441" s="94"/>
      <c r="P441" s="94"/>
      <c r="Q441" s="94"/>
      <c r="R441" s="94"/>
      <c r="S441" s="94"/>
      <c r="T441" s="94"/>
      <c r="U441" s="94"/>
    </row>
    <row r="442" spans="1:21">
      <c r="A442" s="94"/>
      <c r="B442" s="94"/>
      <c r="C442" s="94"/>
      <c r="D442" s="94"/>
      <c r="E442" s="94"/>
      <c r="F442" s="94"/>
      <c r="G442" s="94"/>
      <c r="H442" s="94"/>
      <c r="I442" s="94"/>
      <c r="J442" s="94"/>
      <c r="K442" s="94"/>
      <c r="L442" s="94"/>
      <c r="M442" s="94"/>
      <c r="N442" s="94"/>
      <c r="O442" s="94"/>
      <c r="P442" s="94"/>
      <c r="Q442" s="94"/>
      <c r="R442" s="94"/>
      <c r="S442" s="94"/>
      <c r="T442" s="94"/>
      <c r="U442" s="94"/>
    </row>
    <row r="443" spans="1:21">
      <c r="A443" s="94"/>
      <c r="B443" s="94"/>
      <c r="C443" s="94"/>
      <c r="D443" s="94"/>
      <c r="E443" s="94"/>
      <c r="F443" s="94"/>
      <c r="G443" s="94"/>
      <c r="H443" s="94"/>
      <c r="I443" s="94"/>
      <c r="J443" s="94"/>
      <c r="K443" s="94"/>
      <c r="L443" s="94"/>
      <c r="M443" s="94"/>
      <c r="N443" s="94"/>
      <c r="O443" s="94"/>
      <c r="P443" s="94"/>
      <c r="Q443" s="94"/>
      <c r="R443" s="94"/>
      <c r="S443" s="94"/>
      <c r="T443" s="94"/>
      <c r="U443" s="94"/>
    </row>
    <row r="444" spans="1:21">
      <c r="A444" s="94"/>
      <c r="B444" s="94"/>
      <c r="C444" s="94"/>
      <c r="D444" s="94"/>
      <c r="E444" s="94"/>
      <c r="F444" s="94"/>
      <c r="G444" s="94"/>
      <c r="H444" s="94"/>
      <c r="I444" s="94"/>
      <c r="J444" s="94"/>
      <c r="K444" s="94"/>
      <c r="L444" s="94"/>
      <c r="M444" s="94"/>
      <c r="N444" s="94"/>
      <c r="O444" s="94"/>
      <c r="P444" s="94"/>
      <c r="Q444" s="94"/>
      <c r="R444" s="94"/>
      <c r="S444" s="94"/>
      <c r="T444" s="94"/>
      <c r="U444" s="94"/>
    </row>
    <row r="445" spans="1:21">
      <c r="A445" s="94"/>
      <c r="B445" s="94"/>
      <c r="C445" s="94"/>
      <c r="D445" s="94"/>
      <c r="E445" s="94"/>
      <c r="F445" s="94"/>
      <c r="G445" s="94"/>
      <c r="H445" s="94"/>
      <c r="I445" s="94"/>
      <c r="J445" s="94"/>
      <c r="K445" s="94"/>
      <c r="L445" s="94"/>
      <c r="M445" s="94"/>
      <c r="N445" s="94"/>
      <c r="O445" s="94"/>
      <c r="P445" s="94"/>
      <c r="Q445" s="94"/>
      <c r="R445" s="94"/>
      <c r="S445" s="94"/>
      <c r="T445" s="94"/>
      <c r="U445" s="94"/>
    </row>
    <row r="446" spans="1:21">
      <c r="A446" s="94"/>
      <c r="B446" s="94"/>
      <c r="C446" s="94"/>
      <c r="D446" s="94"/>
      <c r="E446" s="94"/>
      <c r="F446" s="94"/>
      <c r="G446" s="94"/>
      <c r="H446" s="94"/>
      <c r="I446" s="94"/>
      <c r="J446" s="94"/>
      <c r="K446" s="94"/>
      <c r="L446" s="94"/>
      <c r="M446" s="94"/>
      <c r="N446" s="94"/>
      <c r="O446" s="94"/>
      <c r="P446" s="94"/>
      <c r="Q446" s="94"/>
      <c r="R446" s="94"/>
      <c r="S446" s="94"/>
      <c r="T446" s="94"/>
      <c r="U446" s="94"/>
    </row>
    <row r="447" spans="1:21">
      <c r="A447" s="94"/>
      <c r="B447" s="94"/>
      <c r="C447" s="94"/>
      <c r="D447" s="94"/>
      <c r="E447" s="94"/>
      <c r="F447" s="94"/>
      <c r="G447" s="94"/>
      <c r="H447" s="94"/>
      <c r="I447" s="94"/>
      <c r="J447" s="94"/>
      <c r="K447" s="94"/>
      <c r="L447" s="94"/>
      <c r="M447" s="94"/>
      <c r="N447" s="94"/>
      <c r="O447" s="94"/>
      <c r="P447" s="94"/>
      <c r="Q447" s="94"/>
      <c r="R447" s="94"/>
      <c r="S447" s="94"/>
      <c r="T447" s="94"/>
      <c r="U447" s="94"/>
    </row>
    <row r="448" spans="1:21">
      <c r="A448" s="94"/>
      <c r="B448" s="94"/>
      <c r="C448" s="94"/>
      <c r="D448" s="94"/>
      <c r="E448" s="94"/>
      <c r="F448" s="94"/>
      <c r="G448" s="94"/>
      <c r="H448" s="94"/>
      <c r="I448" s="94"/>
      <c r="J448" s="94"/>
      <c r="K448" s="94"/>
      <c r="L448" s="94"/>
      <c r="M448" s="94"/>
      <c r="N448" s="94"/>
      <c r="O448" s="94"/>
      <c r="P448" s="94"/>
      <c r="Q448" s="94"/>
      <c r="R448" s="94"/>
      <c r="S448" s="94"/>
      <c r="T448" s="94"/>
      <c r="U448" s="94"/>
    </row>
    <row r="449" spans="1:21">
      <c r="A449" s="94"/>
      <c r="B449" s="94"/>
      <c r="C449" s="94"/>
      <c r="D449" s="94"/>
      <c r="E449" s="94"/>
      <c r="F449" s="94"/>
      <c r="G449" s="94"/>
      <c r="H449" s="94"/>
      <c r="I449" s="94"/>
      <c r="J449" s="94"/>
      <c r="K449" s="94"/>
      <c r="L449" s="94"/>
      <c r="M449" s="94"/>
      <c r="N449" s="94"/>
      <c r="O449" s="94"/>
      <c r="P449" s="94"/>
      <c r="Q449" s="94"/>
      <c r="R449" s="94"/>
      <c r="S449" s="94"/>
      <c r="T449" s="94"/>
      <c r="U449" s="94"/>
    </row>
    <row r="450" spans="1:21">
      <c r="A450" s="94"/>
      <c r="B450" s="94"/>
      <c r="C450" s="94"/>
      <c r="D450" s="94"/>
      <c r="E450" s="94"/>
      <c r="F450" s="94"/>
      <c r="G450" s="94"/>
      <c r="H450" s="94"/>
      <c r="I450" s="94"/>
      <c r="J450" s="94"/>
      <c r="K450" s="94"/>
      <c r="L450" s="94"/>
      <c r="M450" s="94"/>
      <c r="N450" s="94"/>
      <c r="O450" s="94"/>
      <c r="P450" s="94"/>
      <c r="Q450" s="94"/>
      <c r="R450" s="94"/>
      <c r="S450" s="94"/>
      <c r="T450" s="94"/>
      <c r="U450" s="94"/>
    </row>
    <row r="451" spans="1:21">
      <c r="A451" s="94"/>
      <c r="B451" s="94"/>
      <c r="C451" s="94"/>
      <c r="D451" s="94"/>
      <c r="E451" s="94"/>
      <c r="F451" s="94"/>
      <c r="G451" s="94"/>
      <c r="H451" s="94"/>
      <c r="I451" s="94"/>
      <c r="J451" s="94"/>
      <c r="K451" s="94"/>
      <c r="L451" s="94"/>
      <c r="M451" s="94"/>
      <c r="N451" s="94"/>
      <c r="O451" s="94"/>
      <c r="P451" s="94"/>
      <c r="Q451" s="94"/>
      <c r="R451" s="94"/>
      <c r="S451" s="94"/>
      <c r="T451" s="94"/>
      <c r="U451" s="94"/>
    </row>
    <row r="452" spans="1:21">
      <c r="A452" s="94"/>
      <c r="B452" s="94"/>
      <c r="C452" s="94"/>
      <c r="D452" s="94"/>
      <c r="E452" s="94"/>
      <c r="F452" s="94"/>
      <c r="G452" s="94"/>
      <c r="H452" s="94"/>
      <c r="I452" s="94"/>
      <c r="J452" s="94"/>
      <c r="K452" s="94"/>
      <c r="L452" s="94"/>
      <c r="M452" s="94"/>
      <c r="N452" s="94"/>
      <c r="O452" s="94"/>
      <c r="P452" s="94"/>
      <c r="Q452" s="94"/>
      <c r="R452" s="94"/>
      <c r="S452" s="94"/>
      <c r="T452" s="94"/>
      <c r="U452" s="94"/>
    </row>
    <row r="453" spans="1:21">
      <c r="A453" s="94"/>
      <c r="B453" s="94"/>
      <c r="C453" s="94"/>
      <c r="D453" s="94"/>
      <c r="E453" s="94"/>
      <c r="F453" s="94"/>
      <c r="G453" s="94"/>
      <c r="H453" s="94"/>
      <c r="I453" s="94"/>
      <c r="J453" s="94"/>
      <c r="K453" s="94"/>
      <c r="L453" s="94"/>
      <c r="M453" s="94"/>
      <c r="N453" s="94"/>
      <c r="O453" s="94"/>
      <c r="P453" s="94"/>
      <c r="Q453" s="94"/>
      <c r="R453" s="94"/>
      <c r="S453" s="94"/>
      <c r="T453" s="94"/>
      <c r="U453" s="94"/>
    </row>
    <row r="454" spans="1:21">
      <c r="A454" s="94"/>
      <c r="B454" s="94"/>
      <c r="C454" s="94"/>
      <c r="D454" s="94"/>
      <c r="E454" s="94"/>
      <c r="F454" s="94"/>
      <c r="G454" s="94"/>
      <c r="H454" s="94"/>
      <c r="I454" s="94"/>
      <c r="J454" s="94"/>
      <c r="K454" s="94"/>
      <c r="L454" s="94"/>
      <c r="M454" s="94"/>
      <c r="N454" s="94"/>
      <c r="O454" s="94"/>
      <c r="P454" s="94"/>
      <c r="Q454" s="94"/>
      <c r="R454" s="94"/>
      <c r="S454" s="94"/>
      <c r="T454" s="94"/>
      <c r="U454" s="94"/>
    </row>
    <row r="455" spans="1:21">
      <c r="A455" s="94"/>
      <c r="B455" s="94"/>
      <c r="C455" s="94"/>
      <c r="D455" s="94"/>
      <c r="E455" s="94"/>
      <c r="F455" s="94"/>
      <c r="G455" s="94"/>
      <c r="H455" s="94"/>
      <c r="I455" s="94"/>
      <c r="J455" s="94"/>
      <c r="K455" s="94"/>
      <c r="L455" s="94"/>
      <c r="M455" s="94"/>
      <c r="N455" s="94"/>
      <c r="O455" s="94"/>
      <c r="P455" s="94"/>
      <c r="Q455" s="94"/>
      <c r="R455" s="94"/>
      <c r="S455" s="94"/>
      <c r="T455" s="94"/>
      <c r="U455" s="94"/>
    </row>
    <row r="456" spans="1:21">
      <c r="A456" s="94"/>
      <c r="B456" s="94"/>
      <c r="C456" s="94"/>
      <c r="D456" s="94"/>
      <c r="E456" s="94"/>
      <c r="F456" s="94"/>
      <c r="G456" s="94"/>
      <c r="H456" s="94"/>
      <c r="I456" s="94"/>
      <c r="J456" s="94"/>
      <c r="K456" s="94"/>
      <c r="L456" s="94"/>
      <c r="M456" s="94"/>
      <c r="N456" s="94"/>
      <c r="O456" s="94"/>
      <c r="P456" s="94"/>
      <c r="Q456" s="94"/>
      <c r="R456" s="94"/>
      <c r="S456" s="94"/>
      <c r="T456" s="94"/>
      <c r="U456" s="94"/>
    </row>
    <row r="457" spans="1:21">
      <c r="A457" s="94"/>
      <c r="B457" s="94"/>
      <c r="C457" s="94"/>
      <c r="D457" s="94"/>
      <c r="E457" s="94"/>
      <c r="F457" s="94"/>
      <c r="G457" s="94"/>
      <c r="H457" s="94"/>
      <c r="I457" s="94"/>
      <c r="J457" s="94"/>
      <c r="K457" s="94"/>
      <c r="L457" s="94"/>
      <c r="M457" s="94"/>
      <c r="N457" s="94"/>
      <c r="O457" s="94"/>
      <c r="P457" s="94"/>
      <c r="Q457" s="94"/>
      <c r="R457" s="94"/>
      <c r="S457" s="94"/>
      <c r="T457" s="94"/>
      <c r="U457" s="94"/>
    </row>
    <row r="458" spans="1:21">
      <c r="A458" s="94"/>
      <c r="B458" s="94"/>
      <c r="C458" s="94"/>
      <c r="D458" s="94"/>
      <c r="E458" s="94"/>
      <c r="F458" s="94"/>
      <c r="G458" s="94"/>
      <c r="H458" s="94"/>
      <c r="I458" s="94"/>
      <c r="J458" s="94"/>
      <c r="K458" s="94"/>
      <c r="L458" s="94"/>
      <c r="M458" s="94"/>
      <c r="N458" s="94"/>
      <c r="O458" s="94"/>
      <c r="P458" s="94"/>
      <c r="Q458" s="94"/>
      <c r="R458" s="94"/>
      <c r="S458" s="94"/>
      <c r="T458" s="94"/>
      <c r="U458" s="94"/>
    </row>
    <row r="459" spans="1:21">
      <c r="A459" s="94"/>
      <c r="B459" s="94"/>
      <c r="C459" s="94"/>
      <c r="D459" s="94"/>
      <c r="E459" s="94"/>
      <c r="F459" s="94"/>
      <c r="G459" s="94"/>
      <c r="H459" s="94"/>
      <c r="I459" s="94"/>
      <c r="J459" s="94"/>
      <c r="K459" s="94"/>
      <c r="L459" s="94"/>
      <c r="M459" s="94"/>
      <c r="N459" s="94"/>
      <c r="O459" s="94"/>
      <c r="P459" s="94"/>
      <c r="Q459" s="94"/>
      <c r="R459" s="94"/>
      <c r="S459" s="94"/>
      <c r="T459" s="94"/>
      <c r="U459" s="94"/>
    </row>
    <row r="460" spans="1:21">
      <c r="A460" s="94"/>
      <c r="B460" s="94"/>
      <c r="C460" s="94"/>
      <c r="D460" s="94"/>
      <c r="E460" s="94"/>
      <c r="F460" s="94"/>
      <c r="G460" s="94"/>
      <c r="H460" s="94"/>
      <c r="I460" s="94"/>
      <c r="J460" s="94"/>
      <c r="K460" s="94"/>
      <c r="L460" s="94"/>
      <c r="M460" s="94"/>
      <c r="N460" s="94"/>
      <c r="O460" s="94"/>
      <c r="P460" s="94"/>
      <c r="Q460" s="94"/>
      <c r="R460" s="94"/>
      <c r="S460" s="94"/>
      <c r="T460" s="94"/>
      <c r="U460" s="94"/>
    </row>
    <row r="461" spans="1:21">
      <c r="A461" s="94"/>
      <c r="B461" s="94"/>
      <c r="C461" s="94"/>
      <c r="D461" s="94"/>
      <c r="E461" s="94"/>
      <c r="F461" s="94"/>
      <c r="G461" s="94"/>
      <c r="H461" s="94"/>
      <c r="I461" s="94"/>
      <c r="J461" s="94"/>
      <c r="K461" s="94"/>
      <c r="L461" s="94"/>
      <c r="M461" s="94"/>
      <c r="N461" s="94"/>
      <c r="O461" s="94"/>
      <c r="P461" s="94"/>
      <c r="Q461" s="94"/>
      <c r="R461" s="94"/>
      <c r="S461" s="94"/>
      <c r="T461" s="94"/>
      <c r="U461" s="94"/>
    </row>
    <row r="462" spans="1:21">
      <c r="A462" s="94"/>
      <c r="B462" s="94"/>
      <c r="C462" s="94"/>
      <c r="D462" s="94"/>
      <c r="E462" s="94"/>
      <c r="F462" s="94"/>
      <c r="G462" s="94"/>
      <c r="H462" s="94"/>
      <c r="I462" s="94"/>
      <c r="J462" s="94"/>
      <c r="K462" s="94"/>
      <c r="L462" s="94"/>
      <c r="M462" s="94"/>
      <c r="N462" s="94"/>
      <c r="O462" s="94"/>
      <c r="P462" s="94"/>
      <c r="Q462" s="94"/>
      <c r="R462" s="94"/>
      <c r="S462" s="94"/>
      <c r="T462" s="94"/>
      <c r="U462" s="94"/>
    </row>
    <row r="463" spans="1:21">
      <c r="A463" s="94"/>
      <c r="B463" s="94"/>
      <c r="C463" s="94"/>
      <c r="D463" s="94"/>
      <c r="E463" s="94"/>
      <c r="F463" s="94"/>
      <c r="G463" s="94"/>
      <c r="H463" s="94"/>
      <c r="I463" s="94"/>
      <c r="J463" s="94"/>
      <c r="K463" s="94"/>
      <c r="L463" s="94"/>
      <c r="M463" s="94"/>
      <c r="N463" s="94"/>
      <c r="O463" s="94"/>
      <c r="P463" s="94"/>
      <c r="Q463" s="94"/>
      <c r="R463" s="94"/>
      <c r="S463" s="94"/>
      <c r="T463" s="94"/>
      <c r="U463" s="94"/>
    </row>
    <row r="464" spans="1:21">
      <c r="A464" s="94"/>
      <c r="B464" s="94"/>
      <c r="C464" s="94"/>
      <c r="D464" s="94"/>
      <c r="E464" s="94"/>
      <c r="F464" s="94"/>
      <c r="G464" s="94"/>
      <c r="H464" s="94"/>
      <c r="I464" s="94"/>
      <c r="J464" s="94"/>
      <c r="K464" s="94"/>
      <c r="L464" s="94"/>
      <c r="M464" s="94"/>
      <c r="N464" s="94"/>
      <c r="O464" s="94"/>
      <c r="P464" s="94"/>
      <c r="Q464" s="94"/>
      <c r="R464" s="94"/>
      <c r="S464" s="94"/>
      <c r="T464" s="94"/>
      <c r="U464" s="94"/>
    </row>
    <row r="465" spans="1:21">
      <c r="A465" s="94"/>
      <c r="B465" s="94"/>
      <c r="C465" s="94"/>
      <c r="D465" s="94"/>
      <c r="E465" s="94"/>
      <c r="F465" s="94"/>
      <c r="G465" s="94"/>
      <c r="H465" s="94"/>
      <c r="I465" s="94"/>
      <c r="J465" s="94"/>
      <c r="K465" s="94"/>
      <c r="L465" s="94"/>
      <c r="M465" s="94"/>
      <c r="N465" s="94"/>
      <c r="O465" s="94"/>
      <c r="P465" s="94"/>
      <c r="Q465" s="94"/>
      <c r="R465" s="94"/>
      <c r="S465" s="94"/>
      <c r="T465" s="94"/>
      <c r="U465" s="94"/>
    </row>
    <row r="466" spans="1:21">
      <c r="A466" s="94"/>
      <c r="B466" s="94"/>
      <c r="C466" s="94"/>
      <c r="D466" s="94"/>
      <c r="E466" s="94"/>
      <c r="F466" s="94"/>
      <c r="G466" s="94"/>
      <c r="H466" s="94"/>
      <c r="I466" s="94"/>
      <c r="J466" s="94"/>
      <c r="K466" s="94"/>
      <c r="L466" s="94"/>
      <c r="M466" s="94"/>
      <c r="N466" s="94"/>
      <c r="O466" s="94"/>
      <c r="P466" s="94"/>
      <c r="Q466" s="94"/>
      <c r="R466" s="94"/>
      <c r="S466" s="94"/>
      <c r="T466" s="94"/>
      <c r="U466" s="94"/>
    </row>
    <row r="467" spans="1:21">
      <c r="A467" s="94"/>
      <c r="B467" s="94"/>
      <c r="C467" s="94"/>
      <c r="D467" s="94"/>
      <c r="E467" s="94"/>
      <c r="F467" s="94"/>
      <c r="G467" s="94"/>
      <c r="H467" s="94"/>
      <c r="I467" s="94"/>
      <c r="J467" s="94"/>
      <c r="K467" s="94"/>
      <c r="L467" s="94"/>
      <c r="M467" s="94"/>
      <c r="N467" s="94"/>
      <c r="O467" s="94"/>
      <c r="P467" s="94"/>
      <c r="Q467" s="94"/>
      <c r="R467" s="94"/>
      <c r="S467" s="94"/>
      <c r="T467" s="94"/>
      <c r="U467" s="94"/>
    </row>
    <row r="468" spans="1:21">
      <c r="A468" s="94"/>
      <c r="B468" s="94"/>
      <c r="C468" s="94"/>
      <c r="D468" s="94"/>
      <c r="E468" s="94"/>
      <c r="F468" s="94"/>
      <c r="G468" s="94"/>
      <c r="H468" s="94"/>
      <c r="I468" s="94"/>
      <c r="J468" s="94"/>
      <c r="K468" s="94"/>
      <c r="L468" s="94"/>
      <c r="M468" s="94"/>
      <c r="N468" s="94"/>
      <c r="O468" s="94"/>
      <c r="P468" s="94"/>
      <c r="Q468" s="94"/>
      <c r="R468" s="94"/>
      <c r="S468" s="94"/>
      <c r="T468" s="94"/>
      <c r="U468" s="94"/>
    </row>
    <row r="469" spans="1:21">
      <c r="A469" s="94"/>
      <c r="B469" s="94"/>
      <c r="C469" s="94"/>
      <c r="D469" s="94"/>
      <c r="E469" s="94"/>
      <c r="F469" s="94"/>
      <c r="G469" s="94"/>
      <c r="H469" s="94"/>
      <c r="I469" s="94"/>
      <c r="J469" s="94"/>
      <c r="K469" s="94"/>
      <c r="L469" s="94"/>
      <c r="M469" s="94"/>
      <c r="N469" s="94"/>
      <c r="O469" s="94"/>
      <c r="P469" s="94"/>
      <c r="Q469" s="94"/>
      <c r="R469" s="94"/>
      <c r="S469" s="94"/>
      <c r="T469" s="94"/>
      <c r="U469" s="94"/>
    </row>
    <row r="470" spans="1:21">
      <c r="A470" s="94"/>
      <c r="B470" s="94"/>
      <c r="C470" s="94"/>
      <c r="D470" s="94"/>
      <c r="E470" s="94"/>
      <c r="F470" s="94"/>
      <c r="G470" s="94"/>
      <c r="H470" s="94"/>
      <c r="I470" s="94"/>
      <c r="J470" s="94"/>
      <c r="K470" s="94"/>
      <c r="L470" s="94"/>
      <c r="M470" s="94"/>
      <c r="N470" s="94"/>
      <c r="O470" s="94"/>
      <c r="P470" s="94"/>
      <c r="Q470" s="94"/>
      <c r="R470" s="94"/>
      <c r="S470" s="94"/>
      <c r="T470" s="94"/>
      <c r="U470" s="94"/>
    </row>
    <row r="471" spans="1:21">
      <c r="A471" s="94"/>
      <c r="B471" s="94"/>
      <c r="C471" s="94"/>
      <c r="D471" s="94"/>
      <c r="E471" s="94"/>
      <c r="F471" s="94"/>
      <c r="G471" s="94"/>
      <c r="H471" s="94"/>
      <c r="I471" s="94"/>
      <c r="J471" s="94"/>
      <c r="K471" s="94"/>
      <c r="L471" s="94"/>
      <c r="M471" s="94"/>
      <c r="N471" s="94"/>
      <c r="O471" s="94"/>
      <c r="P471" s="94"/>
      <c r="Q471" s="94"/>
      <c r="R471" s="94"/>
      <c r="S471" s="94"/>
      <c r="T471" s="94"/>
      <c r="U471" s="94"/>
    </row>
    <row r="472" spans="1:21">
      <c r="A472" s="94"/>
      <c r="B472" s="94"/>
      <c r="C472" s="94"/>
      <c r="D472" s="94"/>
      <c r="E472" s="94"/>
      <c r="F472" s="94"/>
      <c r="G472" s="94"/>
      <c r="H472" s="94"/>
      <c r="I472" s="94"/>
      <c r="J472" s="94"/>
      <c r="K472" s="94"/>
      <c r="L472" s="94"/>
      <c r="M472" s="94"/>
      <c r="N472" s="94"/>
      <c r="O472" s="94"/>
      <c r="P472" s="94"/>
      <c r="Q472" s="94"/>
      <c r="R472" s="94"/>
      <c r="S472" s="94"/>
      <c r="T472" s="94"/>
      <c r="U472" s="94"/>
    </row>
    <row r="473" spans="1:21">
      <c r="A473" s="94"/>
      <c r="B473" s="94"/>
      <c r="C473" s="94"/>
      <c r="D473" s="94"/>
      <c r="E473" s="94"/>
      <c r="F473" s="94"/>
      <c r="G473" s="94"/>
      <c r="H473" s="94"/>
      <c r="I473" s="94"/>
      <c r="J473" s="94"/>
      <c r="K473" s="94"/>
      <c r="L473" s="94"/>
      <c r="M473" s="94"/>
      <c r="N473" s="94"/>
      <c r="O473" s="94"/>
      <c r="P473" s="94"/>
      <c r="Q473" s="94"/>
      <c r="R473" s="94"/>
      <c r="S473" s="94"/>
      <c r="T473" s="94"/>
      <c r="U473" s="94"/>
    </row>
    <row r="474" spans="1:21">
      <c r="A474" s="94"/>
      <c r="B474" s="94"/>
      <c r="C474" s="94"/>
      <c r="D474" s="94"/>
      <c r="E474" s="94"/>
      <c r="F474" s="94"/>
      <c r="G474" s="94"/>
      <c r="H474" s="94"/>
      <c r="I474" s="94"/>
      <c r="J474" s="94"/>
      <c r="K474" s="94"/>
      <c r="L474" s="94"/>
      <c r="M474" s="94"/>
      <c r="N474" s="94"/>
      <c r="O474" s="94"/>
      <c r="P474" s="94"/>
      <c r="Q474" s="94"/>
      <c r="R474" s="94"/>
      <c r="S474" s="94"/>
      <c r="T474" s="94"/>
      <c r="U474" s="94"/>
    </row>
    <row r="475" spans="1:21">
      <c r="A475" s="94"/>
      <c r="B475" s="94"/>
      <c r="C475" s="94"/>
      <c r="D475" s="94"/>
      <c r="E475" s="94"/>
      <c r="F475" s="94"/>
      <c r="G475" s="94"/>
      <c r="H475" s="94"/>
      <c r="I475" s="94"/>
      <c r="J475" s="94"/>
      <c r="K475" s="94"/>
      <c r="L475" s="94"/>
      <c r="M475" s="94"/>
      <c r="N475" s="94"/>
      <c r="O475" s="94"/>
      <c r="P475" s="94"/>
      <c r="Q475" s="94"/>
      <c r="R475" s="94"/>
      <c r="S475" s="94"/>
      <c r="T475" s="94"/>
      <c r="U475" s="94"/>
    </row>
    <row r="476" spans="1:21">
      <c r="A476" s="94"/>
      <c r="B476" s="94"/>
      <c r="C476" s="94"/>
      <c r="D476" s="94"/>
      <c r="E476" s="94"/>
      <c r="F476" s="94"/>
      <c r="G476" s="94"/>
      <c r="H476" s="94"/>
      <c r="I476" s="94"/>
      <c r="J476" s="94"/>
      <c r="K476" s="94"/>
      <c r="L476" s="94"/>
      <c r="M476" s="94"/>
      <c r="N476" s="94"/>
      <c r="O476" s="94"/>
      <c r="P476" s="94"/>
      <c r="Q476" s="94"/>
      <c r="R476" s="94"/>
      <c r="S476" s="94"/>
      <c r="T476" s="94"/>
      <c r="U476" s="94"/>
    </row>
    <row r="477" spans="1:21">
      <c r="A477" s="94"/>
      <c r="B477" s="94"/>
      <c r="C477" s="94"/>
      <c r="D477" s="94"/>
      <c r="E477" s="94"/>
      <c r="F477" s="94"/>
      <c r="G477" s="94"/>
      <c r="H477" s="94"/>
      <c r="I477" s="94"/>
      <c r="J477" s="94"/>
      <c r="K477" s="94"/>
      <c r="L477" s="94"/>
      <c r="M477" s="94"/>
      <c r="N477" s="94"/>
      <c r="O477" s="94"/>
      <c r="P477" s="94"/>
      <c r="Q477" s="94"/>
      <c r="R477" s="94"/>
      <c r="S477" s="94"/>
      <c r="T477" s="94"/>
      <c r="U477" s="94"/>
    </row>
    <row r="478" spans="1:21">
      <c r="A478" s="94"/>
      <c r="B478" s="94"/>
      <c r="C478" s="94"/>
      <c r="D478" s="94"/>
      <c r="E478" s="94"/>
      <c r="F478" s="94"/>
      <c r="G478" s="94"/>
      <c r="H478" s="94"/>
      <c r="I478" s="94"/>
      <c r="J478" s="94"/>
      <c r="K478" s="94"/>
      <c r="L478" s="94"/>
      <c r="M478" s="94"/>
      <c r="N478" s="94"/>
      <c r="O478" s="94"/>
      <c r="P478" s="94"/>
      <c r="Q478" s="94"/>
      <c r="R478" s="94"/>
      <c r="S478" s="94"/>
      <c r="T478" s="94"/>
      <c r="U478" s="94"/>
    </row>
    <row r="479" spans="1:21">
      <c r="A479" s="94"/>
      <c r="B479" s="94"/>
      <c r="C479" s="94"/>
      <c r="D479" s="94"/>
      <c r="E479" s="94"/>
      <c r="F479" s="94"/>
      <c r="G479" s="94"/>
      <c r="H479" s="94"/>
      <c r="I479" s="94"/>
      <c r="J479" s="94"/>
      <c r="K479" s="94"/>
      <c r="L479" s="94"/>
      <c r="M479" s="94"/>
      <c r="N479" s="94"/>
      <c r="O479" s="94"/>
      <c r="P479" s="94"/>
      <c r="Q479" s="94"/>
      <c r="R479" s="94"/>
      <c r="S479" s="94"/>
      <c r="T479" s="94"/>
      <c r="U479" s="94"/>
    </row>
    <row r="480" spans="1:21">
      <c r="A480" s="94"/>
      <c r="B480" s="94"/>
      <c r="C480" s="94"/>
      <c r="D480" s="94"/>
      <c r="E480" s="94"/>
      <c r="F480" s="94"/>
      <c r="G480" s="94"/>
      <c r="H480" s="94"/>
      <c r="I480" s="94"/>
      <c r="J480" s="94"/>
      <c r="K480" s="94"/>
      <c r="L480" s="94"/>
      <c r="M480" s="94"/>
      <c r="N480" s="94"/>
      <c r="O480" s="94"/>
      <c r="P480" s="94"/>
      <c r="Q480" s="94"/>
      <c r="R480" s="94"/>
      <c r="S480" s="94"/>
      <c r="T480" s="94"/>
      <c r="U480" s="94"/>
    </row>
    <row r="481" spans="1:21">
      <c r="A481" s="94"/>
      <c r="B481" s="94"/>
      <c r="C481" s="94"/>
      <c r="D481" s="94"/>
      <c r="E481" s="94"/>
      <c r="F481" s="94"/>
      <c r="G481" s="94"/>
      <c r="H481" s="94"/>
      <c r="I481" s="94"/>
      <c r="J481" s="94"/>
      <c r="K481" s="94"/>
      <c r="L481" s="94"/>
      <c r="M481" s="94"/>
      <c r="N481" s="94"/>
      <c r="O481" s="94"/>
      <c r="P481" s="94"/>
      <c r="Q481" s="94"/>
      <c r="R481" s="94"/>
      <c r="S481" s="94"/>
      <c r="T481" s="94"/>
      <c r="U481" s="94"/>
    </row>
    <row r="482" spans="1:21">
      <c r="A482" s="94"/>
      <c r="B482" s="94"/>
      <c r="C482" s="94"/>
      <c r="D482" s="94"/>
      <c r="E482" s="94"/>
      <c r="F482" s="94"/>
      <c r="G482" s="94"/>
      <c r="H482" s="94"/>
      <c r="I482" s="94"/>
      <c r="J482" s="94"/>
      <c r="K482" s="94"/>
      <c r="L482" s="94"/>
      <c r="M482" s="94"/>
      <c r="N482" s="94"/>
      <c r="O482" s="94"/>
      <c r="P482" s="94"/>
      <c r="Q482" s="94"/>
      <c r="R482" s="94"/>
      <c r="S482" s="94"/>
      <c r="T482" s="94"/>
      <c r="U482" s="94"/>
    </row>
    <row r="483" spans="1:21">
      <c r="A483" s="94"/>
      <c r="B483" s="94"/>
      <c r="C483" s="94"/>
      <c r="D483" s="94"/>
      <c r="E483" s="94"/>
      <c r="F483" s="94"/>
      <c r="G483" s="94"/>
      <c r="H483" s="94"/>
      <c r="I483" s="94"/>
      <c r="J483" s="94"/>
      <c r="K483" s="94"/>
      <c r="L483" s="94"/>
      <c r="M483" s="94"/>
      <c r="N483" s="94"/>
      <c r="O483" s="94"/>
      <c r="P483" s="94"/>
      <c r="Q483" s="94"/>
      <c r="R483" s="94"/>
      <c r="S483" s="94"/>
      <c r="T483" s="94"/>
      <c r="U483" s="94"/>
    </row>
    <row r="484" spans="1:21">
      <c r="A484" s="94"/>
      <c r="B484" s="94"/>
      <c r="C484" s="94"/>
      <c r="D484" s="94"/>
      <c r="E484" s="94"/>
      <c r="F484" s="94"/>
      <c r="G484" s="94"/>
      <c r="H484" s="94"/>
      <c r="I484" s="94"/>
      <c r="J484" s="94"/>
      <c r="K484" s="94"/>
      <c r="L484" s="94"/>
      <c r="M484" s="94"/>
      <c r="N484" s="94"/>
      <c r="O484" s="94"/>
      <c r="P484" s="94"/>
      <c r="Q484" s="94"/>
      <c r="R484" s="94"/>
      <c r="S484" s="94"/>
      <c r="T484" s="94"/>
      <c r="U484" s="94"/>
    </row>
    <row r="485" spans="1:21">
      <c r="A485" s="94"/>
      <c r="B485" s="94"/>
      <c r="C485" s="94"/>
      <c r="D485" s="94"/>
      <c r="E485" s="94"/>
      <c r="F485" s="94"/>
      <c r="G485" s="94"/>
      <c r="H485" s="94"/>
      <c r="I485" s="94"/>
      <c r="J485" s="94"/>
      <c r="K485" s="94"/>
      <c r="L485" s="94"/>
      <c r="M485" s="94"/>
      <c r="N485" s="94"/>
      <c r="O485" s="94"/>
      <c r="P485" s="94"/>
      <c r="Q485" s="94"/>
      <c r="R485" s="94"/>
      <c r="S485" s="94"/>
      <c r="T485" s="94"/>
      <c r="U485" s="94"/>
    </row>
    <row r="486" spans="1:21">
      <c r="A486" s="94"/>
      <c r="B486" s="94"/>
      <c r="C486" s="94"/>
      <c r="D486" s="94"/>
      <c r="E486" s="94"/>
      <c r="F486" s="94"/>
      <c r="G486" s="94"/>
      <c r="H486" s="94"/>
      <c r="I486" s="94"/>
      <c r="J486" s="94"/>
      <c r="K486" s="94"/>
      <c r="L486" s="94"/>
      <c r="M486" s="94"/>
      <c r="N486" s="94"/>
      <c r="O486" s="94"/>
      <c r="P486" s="94"/>
      <c r="Q486" s="94"/>
      <c r="R486" s="94"/>
      <c r="S486" s="94"/>
      <c r="T486" s="94"/>
      <c r="U486" s="94"/>
    </row>
    <row r="487" spans="1:21">
      <c r="A487" s="94"/>
      <c r="B487" s="94"/>
      <c r="C487" s="94"/>
      <c r="D487" s="94"/>
      <c r="E487" s="94"/>
      <c r="F487" s="94"/>
      <c r="G487" s="94"/>
      <c r="H487" s="94"/>
      <c r="I487" s="94"/>
      <c r="J487" s="94"/>
      <c r="K487" s="94"/>
      <c r="L487" s="94"/>
      <c r="M487" s="94"/>
      <c r="N487" s="94"/>
      <c r="O487" s="94"/>
      <c r="P487" s="94"/>
      <c r="Q487" s="94"/>
      <c r="R487" s="94"/>
      <c r="S487" s="94"/>
      <c r="T487" s="94"/>
      <c r="U487" s="94"/>
    </row>
    <row r="488" spans="1:21">
      <c r="A488" s="94"/>
      <c r="B488" s="94"/>
      <c r="C488" s="94"/>
      <c r="D488" s="94"/>
      <c r="E488" s="94"/>
      <c r="F488" s="94"/>
      <c r="G488" s="94"/>
      <c r="H488" s="94"/>
      <c r="I488" s="94"/>
      <c r="J488" s="94"/>
      <c r="K488" s="94"/>
      <c r="L488" s="94"/>
      <c r="M488" s="94"/>
      <c r="N488" s="94"/>
      <c r="O488" s="94"/>
      <c r="P488" s="94"/>
      <c r="Q488" s="94"/>
      <c r="R488" s="94"/>
      <c r="S488" s="94"/>
      <c r="T488" s="94"/>
      <c r="U488" s="94"/>
    </row>
    <row r="489" spans="1:21">
      <c r="A489" s="94"/>
      <c r="B489" s="94"/>
      <c r="C489" s="94"/>
      <c r="D489" s="94"/>
      <c r="E489" s="94"/>
      <c r="F489" s="94"/>
      <c r="G489" s="94"/>
      <c r="H489" s="94"/>
      <c r="I489" s="94"/>
      <c r="J489" s="94"/>
      <c r="K489" s="94"/>
      <c r="L489" s="94"/>
      <c r="M489" s="94"/>
      <c r="N489" s="94"/>
      <c r="O489" s="94"/>
      <c r="P489" s="94"/>
      <c r="Q489" s="94"/>
      <c r="R489" s="94"/>
      <c r="S489" s="94"/>
      <c r="T489" s="94"/>
      <c r="U489" s="94"/>
    </row>
    <row r="490" spans="1:21">
      <c r="A490" s="94"/>
      <c r="B490" s="94"/>
      <c r="C490" s="94"/>
      <c r="D490" s="94"/>
      <c r="E490" s="94"/>
      <c r="F490" s="94"/>
      <c r="G490" s="94"/>
      <c r="H490" s="94"/>
      <c r="I490" s="94"/>
      <c r="J490" s="94"/>
      <c r="K490" s="94"/>
      <c r="L490" s="94"/>
      <c r="M490" s="94"/>
      <c r="N490" s="94"/>
      <c r="O490" s="94"/>
      <c r="P490" s="94"/>
      <c r="Q490" s="94"/>
      <c r="R490" s="94"/>
      <c r="S490" s="94"/>
      <c r="T490" s="94"/>
      <c r="U490" s="94"/>
    </row>
    <row r="491" spans="1:21">
      <c r="A491" s="94"/>
      <c r="B491" s="94"/>
      <c r="C491" s="94"/>
      <c r="D491" s="94"/>
      <c r="E491" s="94"/>
      <c r="F491" s="94"/>
      <c r="G491" s="94"/>
      <c r="H491" s="94"/>
      <c r="I491" s="94"/>
      <c r="J491" s="94"/>
      <c r="K491" s="94"/>
      <c r="L491" s="94"/>
      <c r="M491" s="94"/>
      <c r="N491" s="94"/>
      <c r="O491" s="94"/>
      <c r="P491" s="94"/>
      <c r="Q491" s="94"/>
      <c r="R491" s="94"/>
      <c r="S491" s="94"/>
      <c r="T491" s="94"/>
      <c r="U491" s="94"/>
    </row>
    <row r="492" spans="1:21">
      <c r="A492" s="94"/>
      <c r="B492" s="94"/>
      <c r="C492" s="94"/>
      <c r="D492" s="94"/>
      <c r="E492" s="94"/>
      <c r="F492" s="94"/>
      <c r="G492" s="94"/>
      <c r="H492" s="94"/>
      <c r="I492" s="94"/>
      <c r="J492" s="94"/>
      <c r="K492" s="94"/>
      <c r="L492" s="94"/>
      <c r="M492" s="94"/>
      <c r="N492" s="94"/>
      <c r="O492" s="94"/>
      <c r="P492" s="94"/>
      <c r="Q492" s="94"/>
      <c r="R492" s="94"/>
      <c r="S492" s="94"/>
      <c r="T492" s="94"/>
      <c r="U492" s="94"/>
    </row>
    <row r="493" spans="1:21">
      <c r="A493" s="94"/>
      <c r="B493" s="94"/>
      <c r="C493" s="94"/>
      <c r="D493" s="94"/>
      <c r="E493" s="94"/>
      <c r="F493" s="94"/>
      <c r="G493" s="94"/>
      <c r="H493" s="94"/>
      <c r="I493" s="94"/>
      <c r="J493" s="94"/>
      <c r="K493" s="94"/>
      <c r="L493" s="94"/>
      <c r="M493" s="94"/>
      <c r="N493" s="94"/>
      <c r="O493" s="94"/>
      <c r="P493" s="94"/>
      <c r="Q493" s="94"/>
      <c r="R493" s="94"/>
      <c r="S493" s="94"/>
      <c r="T493" s="94"/>
      <c r="U493" s="94"/>
    </row>
    <row r="494" spans="1:21">
      <c r="A494" s="94"/>
      <c r="B494" s="94"/>
      <c r="C494" s="94"/>
      <c r="D494" s="94"/>
      <c r="E494" s="94"/>
      <c r="F494" s="94"/>
      <c r="G494" s="94"/>
      <c r="H494" s="94"/>
      <c r="I494" s="94"/>
      <c r="J494" s="94"/>
      <c r="K494" s="94"/>
      <c r="L494" s="94"/>
      <c r="M494" s="94"/>
      <c r="N494" s="94"/>
      <c r="O494" s="94"/>
      <c r="P494" s="94"/>
      <c r="Q494" s="94"/>
      <c r="R494" s="94"/>
      <c r="S494" s="94"/>
      <c r="T494" s="94"/>
      <c r="U494" s="94"/>
    </row>
    <row r="495" spans="1:21">
      <c r="A495" s="94"/>
      <c r="B495" s="94"/>
      <c r="C495" s="94"/>
      <c r="D495" s="94"/>
      <c r="E495" s="94"/>
      <c r="F495" s="94"/>
      <c r="G495" s="94"/>
      <c r="H495" s="94"/>
      <c r="I495" s="94"/>
      <c r="J495" s="94"/>
      <c r="K495" s="94"/>
      <c r="L495" s="94"/>
      <c r="M495" s="94"/>
      <c r="N495" s="94"/>
      <c r="O495" s="94"/>
      <c r="P495" s="94"/>
      <c r="Q495" s="94"/>
      <c r="R495" s="94"/>
      <c r="S495" s="94"/>
      <c r="T495" s="94"/>
      <c r="U495" s="94"/>
    </row>
    <row r="496" spans="1:21">
      <c r="A496" s="94"/>
      <c r="B496" s="94"/>
      <c r="C496" s="94"/>
      <c r="D496" s="94"/>
      <c r="E496" s="94"/>
      <c r="F496" s="94"/>
      <c r="G496" s="94"/>
      <c r="H496" s="94"/>
      <c r="I496" s="94"/>
      <c r="J496" s="94"/>
      <c r="K496" s="94"/>
      <c r="L496" s="94"/>
      <c r="M496" s="94"/>
      <c r="N496" s="94"/>
      <c r="O496" s="94"/>
      <c r="P496" s="94"/>
      <c r="Q496" s="94"/>
      <c r="R496" s="94"/>
      <c r="S496" s="94"/>
      <c r="T496" s="94"/>
      <c r="U496" s="94"/>
    </row>
    <row r="497" spans="1:21">
      <c r="A497" s="94"/>
      <c r="B497" s="94"/>
      <c r="C497" s="94"/>
      <c r="D497" s="94"/>
      <c r="E497" s="94"/>
      <c r="F497" s="94"/>
      <c r="G497" s="94"/>
      <c r="H497" s="94"/>
      <c r="I497" s="94"/>
      <c r="J497" s="94"/>
      <c r="K497" s="94"/>
      <c r="L497" s="94"/>
      <c r="M497" s="94"/>
      <c r="N497" s="94"/>
      <c r="O497" s="94"/>
      <c r="P497" s="94"/>
      <c r="Q497" s="94"/>
      <c r="R497" s="94"/>
      <c r="S497" s="94"/>
      <c r="T497" s="94"/>
      <c r="U497" s="94"/>
    </row>
    <row r="498" spans="1:21">
      <c r="A498" s="94"/>
      <c r="B498" s="94"/>
      <c r="C498" s="94"/>
      <c r="D498" s="94"/>
      <c r="E498" s="94"/>
      <c r="F498" s="94"/>
      <c r="G498" s="94"/>
      <c r="H498" s="94"/>
      <c r="I498" s="94"/>
      <c r="J498" s="94"/>
      <c r="K498" s="94"/>
      <c r="L498" s="94"/>
      <c r="M498" s="94"/>
      <c r="N498" s="94"/>
      <c r="O498" s="94"/>
      <c r="P498" s="94"/>
      <c r="Q498" s="94"/>
      <c r="R498" s="94"/>
      <c r="S498" s="94"/>
      <c r="T498" s="94"/>
      <c r="U498" s="94"/>
    </row>
    <row r="499" spans="1:21">
      <c r="A499" s="94"/>
      <c r="B499" s="94"/>
      <c r="C499" s="94"/>
      <c r="D499" s="94"/>
      <c r="E499" s="94"/>
      <c r="F499" s="94"/>
      <c r="G499" s="94"/>
      <c r="H499" s="94"/>
      <c r="I499" s="94"/>
      <c r="J499" s="94"/>
      <c r="K499" s="94"/>
      <c r="L499" s="94"/>
      <c r="M499" s="94"/>
      <c r="N499" s="94"/>
      <c r="O499" s="94"/>
      <c r="P499" s="94"/>
      <c r="Q499" s="94"/>
      <c r="R499" s="94"/>
      <c r="S499" s="94"/>
      <c r="T499" s="94"/>
      <c r="U499" s="94"/>
    </row>
    <row r="500" spans="1:21">
      <c r="A500" s="94"/>
      <c r="B500" s="94"/>
      <c r="C500" s="94"/>
      <c r="D500" s="94"/>
      <c r="E500" s="94"/>
      <c r="F500" s="94"/>
      <c r="G500" s="94"/>
      <c r="H500" s="94"/>
      <c r="I500" s="94"/>
      <c r="J500" s="94"/>
      <c r="K500" s="94"/>
      <c r="L500" s="94"/>
      <c r="M500" s="94"/>
      <c r="N500" s="94"/>
      <c r="O500" s="94"/>
      <c r="P500" s="94"/>
      <c r="Q500" s="94"/>
      <c r="R500" s="94"/>
      <c r="S500" s="94"/>
      <c r="T500" s="94"/>
      <c r="U500" s="94"/>
    </row>
    <row r="501" spans="1:21">
      <c r="A501" s="94"/>
      <c r="B501" s="94"/>
      <c r="C501" s="94"/>
      <c r="D501" s="94"/>
      <c r="E501" s="94"/>
      <c r="F501" s="94"/>
      <c r="G501" s="94"/>
      <c r="H501" s="94"/>
      <c r="I501" s="94"/>
      <c r="J501" s="94"/>
      <c r="K501" s="94"/>
      <c r="L501" s="94"/>
      <c r="M501" s="94"/>
      <c r="N501" s="94"/>
      <c r="O501" s="94"/>
      <c r="P501" s="94"/>
      <c r="Q501" s="94"/>
      <c r="R501" s="94"/>
      <c r="S501" s="94"/>
      <c r="T501" s="94"/>
      <c r="U501" s="94"/>
    </row>
    <row r="502" spans="1:21">
      <c r="A502" s="94"/>
      <c r="B502" s="94"/>
      <c r="C502" s="94"/>
      <c r="D502" s="94"/>
      <c r="E502" s="94"/>
      <c r="F502" s="94"/>
      <c r="G502" s="94"/>
      <c r="H502" s="94"/>
      <c r="I502" s="94"/>
      <c r="J502" s="94"/>
      <c r="K502" s="94"/>
      <c r="L502" s="94"/>
      <c r="M502" s="94"/>
      <c r="N502" s="94"/>
      <c r="O502" s="94"/>
      <c r="P502" s="94"/>
      <c r="Q502" s="94"/>
      <c r="R502" s="94"/>
      <c r="S502" s="94"/>
      <c r="T502" s="94"/>
      <c r="U502" s="94"/>
    </row>
    <row r="503" spans="1:21">
      <c r="A503" s="94"/>
      <c r="B503" s="94"/>
      <c r="C503" s="94"/>
      <c r="D503" s="94"/>
      <c r="E503" s="94"/>
      <c r="F503" s="94"/>
      <c r="G503" s="94"/>
      <c r="H503" s="94"/>
      <c r="I503" s="94"/>
      <c r="J503" s="94"/>
      <c r="K503" s="94"/>
      <c r="L503" s="94"/>
      <c r="M503" s="94"/>
      <c r="N503" s="94"/>
      <c r="O503" s="94"/>
      <c r="P503" s="94"/>
      <c r="Q503" s="94"/>
      <c r="R503" s="94"/>
      <c r="S503" s="94"/>
      <c r="T503" s="94"/>
      <c r="U503" s="94"/>
    </row>
    <row r="504" spans="1:21">
      <c r="A504" s="94"/>
      <c r="B504" s="94"/>
      <c r="C504" s="94"/>
      <c r="D504" s="94"/>
      <c r="E504" s="94"/>
      <c r="F504" s="94"/>
      <c r="G504" s="94"/>
      <c r="H504" s="94"/>
      <c r="I504" s="94"/>
      <c r="J504" s="94"/>
      <c r="K504" s="94"/>
      <c r="L504" s="94"/>
      <c r="M504" s="94"/>
      <c r="N504" s="94"/>
      <c r="O504" s="94"/>
      <c r="P504" s="94"/>
      <c r="Q504" s="94"/>
      <c r="R504" s="94"/>
      <c r="S504" s="94"/>
      <c r="T504" s="94"/>
      <c r="U504" s="94"/>
    </row>
    <row r="505" spans="1:21">
      <c r="A505" s="94"/>
      <c r="B505" s="94"/>
      <c r="C505" s="94"/>
      <c r="D505" s="94"/>
      <c r="E505" s="94"/>
      <c r="F505" s="94"/>
      <c r="G505" s="94"/>
      <c r="H505" s="94"/>
      <c r="I505" s="94"/>
      <c r="J505" s="94"/>
      <c r="K505" s="94"/>
      <c r="L505" s="94"/>
      <c r="M505" s="94"/>
      <c r="N505" s="94"/>
      <c r="O505" s="94"/>
      <c r="P505" s="94"/>
      <c r="Q505" s="94"/>
      <c r="R505" s="94"/>
      <c r="S505" s="94"/>
      <c r="T505" s="94"/>
      <c r="U505" s="94"/>
    </row>
    <row r="506" spans="1:21">
      <c r="A506" s="94"/>
      <c r="B506" s="94"/>
      <c r="C506" s="94"/>
      <c r="D506" s="94"/>
      <c r="E506" s="94"/>
      <c r="F506" s="94"/>
      <c r="G506" s="94"/>
      <c r="H506" s="94"/>
      <c r="I506" s="94"/>
      <c r="J506" s="94"/>
      <c r="K506" s="94"/>
      <c r="L506" s="94"/>
      <c r="M506" s="94"/>
      <c r="N506" s="94"/>
      <c r="O506" s="94"/>
      <c r="P506" s="94"/>
      <c r="Q506" s="94"/>
      <c r="R506" s="94"/>
      <c r="S506" s="94"/>
      <c r="T506" s="94"/>
      <c r="U506" s="94"/>
    </row>
    <row r="507" spans="1:21">
      <c r="A507" s="94"/>
      <c r="B507" s="94"/>
      <c r="C507" s="94"/>
      <c r="D507" s="94"/>
      <c r="E507" s="94"/>
      <c r="F507" s="94"/>
      <c r="G507" s="94"/>
      <c r="H507" s="94"/>
      <c r="I507" s="94"/>
      <c r="J507" s="94"/>
      <c r="K507" s="94"/>
      <c r="L507" s="94"/>
      <c r="M507" s="94"/>
      <c r="N507" s="94"/>
      <c r="O507" s="94"/>
      <c r="P507" s="94"/>
      <c r="Q507" s="94"/>
      <c r="R507" s="94"/>
      <c r="S507" s="94"/>
      <c r="T507" s="94"/>
      <c r="U507" s="94"/>
    </row>
    <row r="508" spans="1:21">
      <c r="A508" s="94"/>
      <c r="B508" s="94"/>
      <c r="C508" s="94"/>
      <c r="D508" s="94"/>
      <c r="E508" s="94"/>
      <c r="F508" s="94"/>
      <c r="G508" s="94"/>
      <c r="H508" s="94"/>
      <c r="I508" s="94"/>
      <c r="J508" s="94"/>
      <c r="K508" s="94"/>
      <c r="L508" s="94"/>
      <c r="M508" s="94"/>
      <c r="N508" s="94"/>
      <c r="O508" s="94"/>
      <c r="P508" s="94"/>
      <c r="Q508" s="94"/>
      <c r="R508" s="94"/>
      <c r="S508" s="94"/>
      <c r="T508" s="94"/>
      <c r="U508" s="94"/>
    </row>
    <row r="509" spans="1:21">
      <c r="A509" s="94"/>
      <c r="B509" s="94"/>
      <c r="C509" s="94"/>
      <c r="D509" s="94"/>
      <c r="E509" s="94"/>
      <c r="F509" s="94"/>
      <c r="G509" s="94"/>
      <c r="H509" s="94"/>
      <c r="I509" s="94"/>
      <c r="J509" s="94"/>
      <c r="K509" s="94"/>
      <c r="L509" s="94"/>
      <c r="M509" s="94"/>
      <c r="N509" s="94"/>
      <c r="O509" s="94"/>
      <c r="P509" s="94"/>
      <c r="Q509" s="94"/>
      <c r="R509" s="94"/>
      <c r="S509" s="94"/>
      <c r="T509" s="94"/>
      <c r="U509" s="94"/>
    </row>
    <row r="510" spans="1:21">
      <c r="A510" s="94"/>
      <c r="B510" s="94"/>
      <c r="C510" s="94"/>
      <c r="D510" s="94"/>
      <c r="E510" s="94"/>
      <c r="F510" s="94"/>
      <c r="G510" s="94"/>
      <c r="H510" s="94"/>
      <c r="I510" s="94"/>
      <c r="J510" s="94"/>
      <c r="K510" s="94"/>
      <c r="L510" s="94"/>
      <c r="M510" s="94"/>
      <c r="N510" s="94"/>
      <c r="O510" s="94"/>
      <c r="P510" s="94"/>
      <c r="Q510" s="94"/>
      <c r="R510" s="94"/>
      <c r="S510" s="94"/>
      <c r="T510" s="94"/>
      <c r="U510" s="94"/>
    </row>
    <row r="511" spans="1:21">
      <c r="A511" s="94"/>
      <c r="B511" s="94"/>
      <c r="C511" s="94"/>
      <c r="D511" s="94"/>
      <c r="E511" s="94"/>
      <c r="F511" s="94"/>
      <c r="G511" s="94"/>
      <c r="H511" s="94"/>
      <c r="I511" s="94"/>
      <c r="J511" s="94"/>
      <c r="K511" s="94"/>
      <c r="L511" s="94"/>
      <c r="M511" s="94"/>
      <c r="N511" s="94"/>
      <c r="O511" s="94"/>
      <c r="P511" s="94"/>
      <c r="Q511" s="94"/>
      <c r="R511" s="94"/>
      <c r="S511" s="94"/>
      <c r="T511" s="94"/>
      <c r="U511" s="94"/>
    </row>
    <row r="512" spans="1:21">
      <c r="A512" s="94"/>
      <c r="B512" s="94"/>
      <c r="C512" s="94"/>
      <c r="D512" s="94"/>
      <c r="E512" s="94"/>
      <c r="F512" s="94"/>
      <c r="G512" s="94"/>
      <c r="H512" s="94"/>
      <c r="I512" s="94"/>
      <c r="J512" s="94"/>
      <c r="K512" s="94"/>
      <c r="L512" s="94"/>
      <c r="M512" s="94"/>
      <c r="N512" s="94"/>
      <c r="O512" s="94"/>
      <c r="P512" s="94"/>
      <c r="Q512" s="94"/>
      <c r="R512" s="94"/>
      <c r="S512" s="94"/>
      <c r="T512" s="94"/>
      <c r="U512" s="94"/>
    </row>
    <row r="513" spans="1:21">
      <c r="A513" s="94"/>
      <c r="B513" s="94"/>
      <c r="C513" s="94"/>
      <c r="D513" s="94"/>
      <c r="E513" s="94"/>
      <c r="F513" s="94"/>
      <c r="G513" s="94"/>
      <c r="H513" s="94"/>
      <c r="I513" s="94"/>
      <c r="J513" s="94"/>
      <c r="K513" s="94"/>
      <c r="L513" s="94"/>
      <c r="M513" s="94"/>
      <c r="N513" s="94"/>
      <c r="O513" s="94"/>
      <c r="P513" s="94"/>
      <c r="Q513" s="94"/>
      <c r="R513" s="94"/>
      <c r="S513" s="94"/>
      <c r="T513" s="94"/>
      <c r="U513" s="94"/>
    </row>
    <row r="514" spans="1:21">
      <c r="A514" s="94"/>
      <c r="B514" s="94"/>
      <c r="C514" s="94"/>
      <c r="D514" s="94"/>
      <c r="E514" s="94"/>
      <c r="F514" s="94"/>
      <c r="G514" s="94"/>
      <c r="H514" s="94"/>
      <c r="I514" s="94"/>
      <c r="J514" s="94"/>
      <c r="K514" s="94"/>
      <c r="L514" s="94"/>
      <c r="M514" s="94"/>
      <c r="N514" s="94"/>
      <c r="O514" s="94"/>
      <c r="P514" s="94"/>
      <c r="Q514" s="94"/>
      <c r="R514" s="94"/>
      <c r="S514" s="94"/>
      <c r="T514" s="94"/>
      <c r="U514" s="94"/>
    </row>
    <row r="515" spans="1:21">
      <c r="A515" s="94"/>
      <c r="B515" s="94"/>
      <c r="C515" s="94"/>
      <c r="D515" s="94"/>
      <c r="E515" s="94"/>
      <c r="F515" s="94"/>
      <c r="G515" s="94"/>
      <c r="H515" s="94"/>
      <c r="I515" s="94"/>
      <c r="J515" s="94"/>
      <c r="K515" s="94"/>
      <c r="L515" s="94"/>
      <c r="M515" s="94"/>
      <c r="N515" s="94"/>
      <c r="O515" s="94"/>
      <c r="P515" s="94"/>
      <c r="Q515" s="94"/>
      <c r="R515" s="94"/>
      <c r="S515" s="94"/>
      <c r="T515" s="94"/>
      <c r="U515" s="94"/>
    </row>
    <row r="516" spans="1:21">
      <c r="A516" s="94"/>
      <c r="B516" s="94"/>
      <c r="C516" s="94"/>
      <c r="D516" s="94"/>
      <c r="E516" s="94"/>
      <c r="F516" s="94"/>
      <c r="G516" s="94"/>
      <c r="H516" s="94"/>
      <c r="I516" s="94"/>
      <c r="J516" s="94"/>
      <c r="K516" s="94"/>
      <c r="L516" s="94"/>
      <c r="M516" s="94"/>
      <c r="N516" s="94"/>
      <c r="O516" s="94"/>
      <c r="P516" s="94"/>
      <c r="Q516" s="94"/>
      <c r="R516" s="94"/>
      <c r="S516" s="94"/>
      <c r="T516" s="94"/>
      <c r="U516" s="94"/>
    </row>
    <row r="517" spans="1:21">
      <c r="A517" s="94"/>
      <c r="B517" s="94"/>
      <c r="C517" s="94"/>
      <c r="D517" s="94"/>
      <c r="E517" s="94"/>
      <c r="F517" s="94"/>
      <c r="G517" s="94"/>
      <c r="H517" s="94"/>
      <c r="I517" s="94"/>
      <c r="J517" s="94"/>
      <c r="K517" s="94"/>
      <c r="L517" s="94"/>
      <c r="M517" s="94"/>
      <c r="N517" s="94"/>
      <c r="O517" s="94"/>
      <c r="P517" s="94"/>
      <c r="Q517" s="94"/>
      <c r="R517" s="94"/>
      <c r="S517" s="94"/>
      <c r="T517" s="94"/>
      <c r="U517" s="94"/>
    </row>
    <row r="518" spans="1:21">
      <c r="A518" s="94"/>
      <c r="B518" s="94"/>
      <c r="C518" s="94"/>
      <c r="D518" s="94"/>
      <c r="E518" s="94"/>
      <c r="F518" s="94"/>
      <c r="G518" s="94"/>
      <c r="H518" s="94"/>
      <c r="I518" s="94"/>
      <c r="J518" s="94"/>
      <c r="K518" s="94"/>
      <c r="L518" s="94"/>
      <c r="M518" s="94"/>
      <c r="N518" s="94"/>
      <c r="O518" s="94"/>
      <c r="P518" s="94"/>
      <c r="Q518" s="94"/>
      <c r="R518" s="94"/>
      <c r="S518" s="94"/>
      <c r="T518" s="94"/>
      <c r="U518" s="94"/>
    </row>
    <row r="519" spans="1:21">
      <c r="A519" s="94"/>
      <c r="B519" s="94"/>
      <c r="C519" s="94"/>
      <c r="D519" s="94"/>
      <c r="E519" s="94"/>
      <c r="F519" s="94"/>
      <c r="G519" s="94"/>
      <c r="H519" s="94"/>
      <c r="I519" s="94"/>
      <c r="J519" s="94"/>
      <c r="K519" s="94"/>
      <c r="L519" s="94"/>
      <c r="M519" s="94"/>
      <c r="N519" s="94"/>
      <c r="O519" s="94"/>
      <c r="P519" s="94"/>
      <c r="Q519" s="94"/>
      <c r="R519" s="94"/>
      <c r="S519" s="94"/>
      <c r="T519" s="94"/>
      <c r="U519" s="94"/>
    </row>
    <row r="520" spans="1:21">
      <c r="A520" s="94"/>
      <c r="B520" s="94"/>
      <c r="C520" s="94"/>
      <c r="D520" s="94"/>
      <c r="E520" s="94"/>
      <c r="F520" s="94"/>
      <c r="G520" s="94"/>
      <c r="H520" s="94"/>
      <c r="I520" s="94"/>
      <c r="J520" s="94"/>
      <c r="K520" s="94"/>
      <c r="L520" s="94"/>
      <c r="M520" s="94"/>
      <c r="N520" s="94"/>
      <c r="O520" s="94"/>
      <c r="P520" s="94"/>
      <c r="Q520" s="94"/>
      <c r="R520" s="94"/>
      <c r="S520" s="94"/>
      <c r="T520" s="94"/>
      <c r="U520" s="94"/>
    </row>
    <row r="521" spans="1:21">
      <c r="A521" s="94"/>
      <c r="B521" s="94"/>
      <c r="C521" s="94"/>
      <c r="D521" s="94"/>
      <c r="E521" s="94"/>
      <c r="F521" s="94"/>
      <c r="G521" s="94"/>
      <c r="H521" s="94"/>
      <c r="I521" s="94"/>
      <c r="J521" s="94"/>
      <c r="K521" s="94"/>
      <c r="L521" s="94"/>
      <c r="M521" s="94"/>
      <c r="N521" s="94"/>
      <c r="O521" s="94"/>
      <c r="P521" s="94"/>
      <c r="Q521" s="94"/>
      <c r="R521" s="94"/>
      <c r="S521" s="94"/>
      <c r="T521" s="94"/>
      <c r="U521" s="94"/>
    </row>
    <row r="522" spans="1:21">
      <c r="A522" s="94"/>
      <c r="B522" s="94"/>
      <c r="C522" s="94"/>
      <c r="D522" s="94"/>
      <c r="E522" s="94"/>
      <c r="F522" s="94"/>
      <c r="G522" s="94"/>
      <c r="H522" s="94"/>
      <c r="I522" s="94"/>
      <c r="J522" s="94"/>
      <c r="K522" s="94"/>
      <c r="L522" s="94"/>
      <c r="M522" s="94"/>
      <c r="N522" s="94"/>
      <c r="O522" s="94"/>
      <c r="P522" s="94"/>
      <c r="Q522" s="94"/>
      <c r="R522" s="94"/>
      <c r="S522" s="94"/>
      <c r="T522" s="94"/>
      <c r="U522" s="94"/>
    </row>
    <row r="523" spans="1:21">
      <c r="A523" s="94"/>
      <c r="B523" s="94"/>
      <c r="C523" s="94"/>
      <c r="D523" s="94"/>
      <c r="E523" s="94"/>
      <c r="F523" s="94"/>
      <c r="G523" s="94"/>
      <c r="H523" s="94"/>
      <c r="I523" s="94"/>
      <c r="J523" s="94"/>
      <c r="K523" s="94"/>
      <c r="L523" s="94"/>
      <c r="M523" s="94"/>
      <c r="N523" s="94"/>
      <c r="O523" s="94"/>
      <c r="P523" s="94"/>
      <c r="Q523" s="94"/>
      <c r="R523" s="94"/>
      <c r="S523" s="94"/>
      <c r="T523" s="94"/>
      <c r="U523" s="94"/>
    </row>
    <row r="524" spans="1:21">
      <c r="A524" s="94"/>
      <c r="B524" s="94"/>
      <c r="C524" s="94"/>
      <c r="D524" s="94"/>
      <c r="E524" s="94"/>
      <c r="F524" s="94"/>
      <c r="G524" s="94"/>
      <c r="H524" s="94"/>
      <c r="I524" s="94"/>
      <c r="J524" s="94"/>
      <c r="K524" s="94"/>
      <c r="L524" s="94"/>
      <c r="M524" s="94"/>
      <c r="N524" s="94"/>
      <c r="O524" s="94"/>
      <c r="P524" s="94"/>
      <c r="Q524" s="94"/>
      <c r="R524" s="94"/>
      <c r="S524" s="94"/>
      <c r="T524" s="94"/>
      <c r="U524" s="94"/>
    </row>
    <row r="525" spans="1:21">
      <c r="A525" s="94"/>
      <c r="B525" s="94"/>
      <c r="C525" s="94"/>
      <c r="D525" s="94"/>
      <c r="E525" s="94"/>
      <c r="F525" s="94"/>
      <c r="G525" s="94"/>
      <c r="H525" s="94"/>
      <c r="I525" s="94"/>
      <c r="J525" s="94"/>
      <c r="K525" s="94"/>
      <c r="L525" s="94"/>
      <c r="M525" s="94"/>
      <c r="N525" s="94"/>
      <c r="O525" s="94"/>
      <c r="P525" s="94"/>
      <c r="Q525" s="94"/>
      <c r="R525" s="94"/>
      <c r="S525" s="94"/>
      <c r="T525" s="94"/>
      <c r="U525" s="94"/>
    </row>
    <row r="526" spans="1:21">
      <c r="A526" s="94"/>
      <c r="B526" s="94"/>
      <c r="C526" s="94"/>
      <c r="D526" s="94"/>
      <c r="E526" s="94"/>
      <c r="F526" s="94"/>
      <c r="G526" s="94"/>
      <c r="H526" s="94"/>
      <c r="I526" s="94"/>
      <c r="J526" s="94"/>
      <c r="K526" s="94"/>
      <c r="L526" s="94"/>
      <c r="M526" s="94"/>
      <c r="N526" s="94"/>
      <c r="O526" s="94"/>
      <c r="P526" s="94"/>
      <c r="Q526" s="94"/>
      <c r="R526" s="94"/>
      <c r="S526" s="94"/>
      <c r="T526" s="94"/>
      <c r="U526" s="94"/>
    </row>
    <row r="527" spans="1:21">
      <c r="A527" s="94"/>
      <c r="B527" s="94"/>
      <c r="C527" s="94"/>
      <c r="D527" s="94"/>
      <c r="E527" s="94"/>
      <c r="F527" s="94"/>
      <c r="G527" s="94"/>
      <c r="H527" s="94"/>
      <c r="I527" s="94"/>
      <c r="J527" s="94"/>
      <c r="K527" s="94"/>
      <c r="L527" s="94"/>
      <c r="M527" s="94"/>
      <c r="N527" s="94"/>
      <c r="O527" s="94"/>
      <c r="P527" s="94"/>
      <c r="Q527" s="94"/>
      <c r="R527" s="94"/>
      <c r="S527" s="94"/>
      <c r="T527" s="94"/>
      <c r="U527" s="94"/>
    </row>
    <row r="528" spans="1:21">
      <c r="A528" s="94"/>
      <c r="B528" s="94"/>
      <c r="C528" s="94"/>
      <c r="D528" s="94"/>
      <c r="E528" s="94"/>
      <c r="F528" s="94"/>
      <c r="G528" s="94"/>
      <c r="H528" s="94"/>
      <c r="I528" s="94"/>
      <c r="J528" s="94"/>
      <c r="K528" s="94"/>
      <c r="L528" s="94"/>
      <c r="M528" s="94"/>
      <c r="N528" s="94"/>
      <c r="O528" s="94"/>
      <c r="P528" s="94"/>
      <c r="Q528" s="94"/>
      <c r="R528" s="94"/>
      <c r="S528" s="94"/>
      <c r="T528" s="94"/>
      <c r="U528" s="94"/>
    </row>
    <row r="529" spans="1:21">
      <c r="A529" s="94"/>
      <c r="B529" s="94"/>
      <c r="C529" s="94"/>
      <c r="D529" s="94"/>
      <c r="E529" s="94"/>
      <c r="F529" s="94"/>
      <c r="G529" s="94"/>
      <c r="H529" s="94"/>
      <c r="I529" s="94"/>
      <c r="J529" s="94"/>
      <c r="K529" s="94"/>
      <c r="L529" s="94"/>
      <c r="M529" s="94"/>
      <c r="N529" s="94"/>
      <c r="O529" s="94"/>
      <c r="P529" s="94"/>
      <c r="Q529" s="94"/>
      <c r="R529" s="94"/>
      <c r="S529" s="94"/>
      <c r="T529" s="94"/>
      <c r="U529" s="94"/>
    </row>
    <row r="530" spans="1:21">
      <c r="A530" s="94"/>
      <c r="B530" s="94"/>
      <c r="C530" s="94"/>
      <c r="D530" s="94"/>
      <c r="E530" s="94"/>
      <c r="F530" s="94"/>
      <c r="G530" s="94"/>
      <c r="H530" s="94"/>
      <c r="I530" s="94"/>
      <c r="J530" s="94"/>
      <c r="K530" s="94"/>
      <c r="L530" s="94"/>
      <c r="M530" s="94"/>
      <c r="N530" s="94"/>
      <c r="O530" s="94"/>
      <c r="P530" s="94"/>
      <c r="Q530" s="94"/>
      <c r="R530" s="94"/>
      <c r="S530" s="94"/>
      <c r="T530" s="94"/>
      <c r="U530" s="94"/>
    </row>
    <row r="531" spans="1:21">
      <c r="A531" s="94"/>
      <c r="B531" s="94"/>
      <c r="C531" s="94"/>
      <c r="D531" s="94"/>
      <c r="E531" s="94"/>
      <c r="F531" s="94"/>
      <c r="G531" s="94"/>
      <c r="H531" s="94"/>
      <c r="I531" s="94"/>
      <c r="J531" s="94"/>
      <c r="K531" s="94"/>
      <c r="L531" s="94"/>
      <c r="M531" s="94"/>
      <c r="N531" s="94"/>
      <c r="O531" s="94"/>
      <c r="P531" s="94"/>
      <c r="Q531" s="94"/>
      <c r="R531" s="94"/>
      <c r="S531" s="94"/>
      <c r="T531" s="94"/>
      <c r="U531" s="94"/>
    </row>
    <row r="532" spans="1:21">
      <c r="A532" s="94"/>
      <c r="B532" s="94"/>
      <c r="C532" s="94"/>
      <c r="D532" s="94"/>
      <c r="E532" s="94"/>
      <c r="F532" s="94"/>
      <c r="G532" s="94"/>
      <c r="H532" s="94"/>
      <c r="I532" s="94"/>
      <c r="J532" s="94"/>
      <c r="K532" s="94"/>
      <c r="L532" s="94"/>
      <c r="M532" s="94"/>
      <c r="N532" s="94"/>
      <c r="O532" s="94"/>
      <c r="P532" s="94"/>
      <c r="Q532" s="94"/>
      <c r="R532" s="94"/>
      <c r="S532" s="94"/>
      <c r="T532" s="94"/>
      <c r="U532" s="94"/>
    </row>
    <row r="533" spans="1:21">
      <c r="A533" s="94"/>
      <c r="B533" s="94"/>
      <c r="C533" s="94"/>
      <c r="D533" s="94"/>
      <c r="E533" s="94"/>
      <c r="F533" s="94"/>
      <c r="G533" s="94"/>
      <c r="H533" s="94"/>
      <c r="I533" s="94"/>
      <c r="J533" s="94"/>
      <c r="K533" s="94"/>
      <c r="L533" s="94"/>
      <c r="M533" s="94"/>
      <c r="N533" s="94"/>
      <c r="O533" s="94"/>
      <c r="P533" s="94"/>
      <c r="Q533" s="94"/>
      <c r="R533" s="94"/>
      <c r="S533" s="94"/>
      <c r="T533" s="94"/>
      <c r="U533" s="94"/>
    </row>
    <row r="534" spans="1:21">
      <c r="A534" s="94"/>
      <c r="B534" s="94"/>
      <c r="C534" s="94"/>
      <c r="D534" s="94"/>
      <c r="E534" s="94"/>
      <c r="F534" s="94"/>
      <c r="G534" s="94"/>
      <c r="H534" s="94"/>
      <c r="I534" s="94"/>
      <c r="J534" s="94"/>
      <c r="K534" s="94"/>
      <c r="L534" s="94"/>
      <c r="M534" s="94"/>
      <c r="N534" s="94"/>
      <c r="O534" s="94"/>
      <c r="P534" s="94"/>
      <c r="Q534" s="94"/>
      <c r="R534" s="94"/>
      <c r="S534" s="94"/>
      <c r="T534" s="94"/>
      <c r="U534" s="94"/>
    </row>
    <row r="535" spans="1:21">
      <c r="A535" s="94"/>
      <c r="B535" s="94"/>
      <c r="C535" s="94"/>
      <c r="D535" s="94"/>
      <c r="E535" s="94"/>
      <c r="F535" s="94"/>
      <c r="G535" s="94"/>
      <c r="H535" s="94"/>
      <c r="I535" s="94"/>
      <c r="J535" s="94"/>
      <c r="K535" s="94"/>
      <c r="L535" s="94"/>
      <c r="M535" s="94"/>
      <c r="N535" s="94"/>
      <c r="O535" s="94"/>
      <c r="P535" s="94"/>
      <c r="Q535" s="94"/>
      <c r="R535" s="94"/>
      <c r="S535" s="94"/>
      <c r="T535" s="94"/>
      <c r="U535" s="94"/>
    </row>
    <row r="536" spans="1:21">
      <c r="A536" s="94"/>
      <c r="B536" s="94"/>
      <c r="C536" s="94"/>
      <c r="D536" s="94"/>
      <c r="E536" s="94"/>
      <c r="F536" s="94"/>
      <c r="G536" s="94"/>
      <c r="H536" s="94"/>
      <c r="I536" s="94"/>
      <c r="J536" s="94"/>
      <c r="K536" s="94"/>
      <c r="L536" s="94"/>
      <c r="M536" s="94"/>
      <c r="N536" s="94"/>
      <c r="O536" s="94"/>
      <c r="P536" s="94"/>
      <c r="Q536" s="94"/>
      <c r="R536" s="94"/>
      <c r="S536" s="94"/>
      <c r="T536" s="94"/>
      <c r="U536" s="94"/>
    </row>
    <row r="537" spans="1:21">
      <c r="A537" s="94"/>
      <c r="B537" s="94"/>
      <c r="C537" s="94"/>
      <c r="D537" s="94"/>
      <c r="E537" s="94"/>
      <c r="F537" s="94"/>
      <c r="G537" s="94"/>
      <c r="H537" s="94"/>
      <c r="I537" s="94"/>
      <c r="J537" s="94"/>
      <c r="K537" s="94"/>
      <c r="L537" s="94"/>
      <c r="M537" s="94"/>
      <c r="N537" s="94"/>
      <c r="O537" s="94"/>
      <c r="P537" s="94"/>
      <c r="Q537" s="94"/>
      <c r="R537" s="94"/>
      <c r="S537" s="94"/>
      <c r="T537" s="94"/>
      <c r="U537" s="94"/>
    </row>
    <row r="538" spans="1:21">
      <c r="A538" s="94"/>
      <c r="B538" s="94"/>
      <c r="C538" s="94"/>
      <c r="D538" s="94"/>
      <c r="E538" s="94"/>
      <c r="F538" s="94"/>
      <c r="G538" s="94"/>
      <c r="H538" s="94"/>
      <c r="I538" s="94"/>
      <c r="J538" s="94"/>
      <c r="K538" s="94"/>
      <c r="L538" s="94"/>
      <c r="M538" s="94"/>
      <c r="N538" s="94"/>
      <c r="O538" s="94"/>
      <c r="P538" s="94"/>
      <c r="Q538" s="94"/>
      <c r="R538" s="94"/>
      <c r="S538" s="94"/>
      <c r="T538" s="94"/>
      <c r="U538" s="94"/>
    </row>
    <row r="539" spans="1:21">
      <c r="A539" s="94"/>
      <c r="B539" s="94"/>
      <c r="C539" s="94"/>
      <c r="D539" s="94"/>
      <c r="E539" s="94"/>
      <c r="F539" s="94"/>
      <c r="G539" s="94"/>
      <c r="H539" s="94"/>
      <c r="I539" s="94"/>
      <c r="J539" s="94"/>
      <c r="K539" s="94"/>
      <c r="L539" s="94"/>
      <c r="M539" s="94"/>
      <c r="N539" s="94"/>
      <c r="O539" s="94"/>
      <c r="P539" s="94"/>
      <c r="Q539" s="94"/>
      <c r="R539" s="94"/>
      <c r="S539" s="94"/>
      <c r="T539" s="94"/>
      <c r="U539" s="94"/>
    </row>
    <row r="540" spans="1:21">
      <c r="A540" s="94"/>
      <c r="B540" s="94"/>
      <c r="C540" s="94"/>
      <c r="D540" s="94"/>
      <c r="E540" s="94"/>
      <c r="F540" s="94"/>
      <c r="G540" s="94"/>
      <c r="H540" s="94"/>
      <c r="I540" s="94"/>
      <c r="J540" s="94"/>
      <c r="K540" s="94"/>
      <c r="L540" s="94"/>
      <c r="M540" s="94"/>
      <c r="N540" s="94"/>
      <c r="O540" s="94"/>
      <c r="P540" s="94"/>
      <c r="Q540" s="94"/>
      <c r="R540" s="94"/>
      <c r="S540" s="94"/>
      <c r="T540" s="94"/>
      <c r="U540" s="94"/>
    </row>
    <row r="541" spans="1:21">
      <c r="A541" s="94"/>
      <c r="B541" s="94"/>
      <c r="C541" s="94"/>
      <c r="D541" s="94"/>
      <c r="E541" s="94"/>
      <c r="F541" s="94"/>
      <c r="G541" s="94"/>
      <c r="H541" s="94"/>
      <c r="I541" s="94"/>
      <c r="J541" s="94"/>
      <c r="K541" s="94"/>
      <c r="L541" s="94"/>
      <c r="M541" s="94"/>
      <c r="N541" s="94"/>
      <c r="O541" s="94"/>
      <c r="P541" s="94"/>
      <c r="Q541" s="94"/>
      <c r="R541" s="94"/>
      <c r="S541" s="94"/>
      <c r="T541" s="94"/>
      <c r="U541" s="94"/>
    </row>
    <row r="542" spans="1:21">
      <c r="A542" s="94"/>
      <c r="B542" s="94"/>
      <c r="C542" s="94"/>
      <c r="D542" s="94"/>
      <c r="E542" s="94"/>
      <c r="F542" s="94"/>
      <c r="G542" s="94"/>
      <c r="H542" s="94"/>
      <c r="I542" s="94"/>
      <c r="J542" s="94"/>
      <c r="K542" s="94"/>
      <c r="L542" s="94"/>
      <c r="M542" s="94"/>
      <c r="N542" s="94"/>
      <c r="O542" s="94"/>
      <c r="P542" s="94"/>
      <c r="Q542" s="94"/>
      <c r="R542" s="94"/>
      <c r="S542" s="94"/>
      <c r="T542" s="94"/>
      <c r="U542" s="94"/>
    </row>
    <row r="543" spans="1:21">
      <c r="A543" s="94"/>
      <c r="B543" s="94"/>
      <c r="C543" s="94"/>
      <c r="D543" s="94"/>
      <c r="E543" s="94"/>
      <c r="F543" s="94"/>
      <c r="G543" s="94"/>
      <c r="H543" s="94"/>
      <c r="I543" s="94"/>
      <c r="J543" s="94"/>
      <c r="K543" s="94"/>
      <c r="L543" s="94"/>
      <c r="M543" s="94"/>
      <c r="N543" s="94"/>
      <c r="O543" s="94"/>
      <c r="P543" s="94"/>
      <c r="Q543" s="94"/>
      <c r="R543" s="94"/>
      <c r="S543" s="94"/>
      <c r="T543" s="94"/>
      <c r="U543" s="94"/>
    </row>
    <row r="544" spans="1:21">
      <c r="A544" s="94"/>
      <c r="B544" s="94"/>
      <c r="C544" s="94"/>
      <c r="D544" s="94"/>
      <c r="E544" s="94"/>
      <c r="F544" s="94"/>
      <c r="G544" s="94"/>
      <c r="H544" s="94"/>
      <c r="I544" s="94"/>
      <c r="J544" s="94"/>
      <c r="K544" s="94"/>
      <c r="L544" s="94"/>
      <c r="M544" s="94"/>
      <c r="N544" s="94"/>
      <c r="O544" s="94"/>
      <c r="P544" s="94"/>
      <c r="Q544" s="94"/>
      <c r="R544" s="94"/>
      <c r="S544" s="94"/>
      <c r="T544" s="94"/>
      <c r="U544" s="94"/>
    </row>
    <row r="545" spans="1:21">
      <c r="A545" s="94"/>
      <c r="B545" s="94"/>
      <c r="C545" s="94"/>
      <c r="D545" s="94"/>
      <c r="E545" s="94"/>
      <c r="F545" s="94"/>
      <c r="G545" s="94"/>
      <c r="H545" s="94"/>
      <c r="I545" s="94"/>
      <c r="J545" s="94"/>
      <c r="K545" s="94"/>
      <c r="L545" s="94"/>
      <c r="M545" s="94"/>
      <c r="N545" s="94"/>
      <c r="O545" s="94"/>
      <c r="P545" s="94"/>
      <c r="Q545" s="94"/>
      <c r="R545" s="94"/>
      <c r="S545" s="94"/>
      <c r="T545" s="94"/>
      <c r="U545" s="94"/>
    </row>
    <row r="546" spans="1:21">
      <c r="A546" s="94"/>
      <c r="B546" s="94"/>
      <c r="C546" s="94"/>
      <c r="D546" s="94"/>
      <c r="E546" s="94"/>
      <c r="F546" s="94"/>
      <c r="G546" s="94"/>
      <c r="H546" s="94"/>
      <c r="I546" s="94"/>
      <c r="J546" s="94"/>
      <c r="K546" s="94"/>
      <c r="L546" s="94"/>
      <c r="M546" s="94"/>
      <c r="N546" s="94"/>
      <c r="O546" s="94"/>
      <c r="P546" s="94"/>
      <c r="Q546" s="94"/>
      <c r="R546" s="94"/>
      <c r="S546" s="94"/>
      <c r="T546" s="94"/>
      <c r="U546" s="94"/>
    </row>
    <row r="547" spans="1:21">
      <c r="A547" s="94"/>
      <c r="B547" s="94"/>
      <c r="C547" s="94"/>
      <c r="D547" s="94"/>
      <c r="E547" s="94"/>
      <c r="F547" s="94"/>
      <c r="G547" s="94"/>
      <c r="H547" s="94"/>
      <c r="I547" s="94"/>
      <c r="J547" s="94"/>
      <c r="K547" s="94"/>
      <c r="L547" s="94"/>
      <c r="M547" s="94"/>
      <c r="N547" s="94"/>
      <c r="O547" s="94"/>
      <c r="P547" s="94"/>
      <c r="Q547" s="94"/>
      <c r="R547" s="94"/>
      <c r="S547" s="94"/>
      <c r="T547" s="94"/>
      <c r="U547" s="94"/>
    </row>
    <row r="548" spans="1:21">
      <c r="A548" s="94"/>
      <c r="B548" s="94"/>
      <c r="C548" s="94"/>
      <c r="D548" s="94"/>
      <c r="E548" s="94"/>
      <c r="F548" s="94"/>
      <c r="G548" s="94"/>
      <c r="H548" s="94"/>
      <c r="I548" s="94"/>
      <c r="J548" s="94"/>
      <c r="K548" s="94"/>
      <c r="L548" s="94"/>
      <c r="M548" s="94"/>
      <c r="N548" s="94"/>
      <c r="O548" s="94"/>
      <c r="P548" s="94"/>
      <c r="Q548" s="94"/>
      <c r="R548" s="94"/>
      <c r="S548" s="94"/>
      <c r="T548" s="94"/>
      <c r="U548" s="94"/>
    </row>
    <row r="549" spans="1:21">
      <c r="A549" s="94"/>
      <c r="B549" s="94"/>
      <c r="C549" s="94"/>
      <c r="D549" s="94"/>
      <c r="E549" s="94"/>
      <c r="F549" s="94"/>
      <c r="G549" s="94"/>
      <c r="H549" s="94"/>
      <c r="I549" s="94"/>
      <c r="J549" s="94"/>
      <c r="K549" s="94"/>
      <c r="L549" s="94"/>
      <c r="M549" s="94"/>
      <c r="N549" s="94"/>
      <c r="O549" s="94"/>
      <c r="P549" s="94"/>
      <c r="Q549" s="94"/>
      <c r="R549" s="94"/>
      <c r="S549" s="94"/>
      <c r="T549" s="94"/>
      <c r="U549" s="94"/>
    </row>
    <row r="550" spans="1:21">
      <c r="A550" s="94"/>
      <c r="B550" s="94"/>
      <c r="C550" s="94"/>
      <c r="D550" s="94"/>
      <c r="E550" s="94"/>
      <c r="F550" s="94"/>
      <c r="G550" s="94"/>
      <c r="H550" s="94"/>
      <c r="I550" s="94"/>
      <c r="J550" s="94"/>
      <c r="K550" s="94"/>
      <c r="L550" s="94"/>
      <c r="M550" s="94"/>
      <c r="N550" s="94"/>
      <c r="O550" s="94"/>
      <c r="P550" s="94"/>
      <c r="Q550" s="94"/>
      <c r="R550" s="94"/>
      <c r="S550" s="94"/>
      <c r="T550" s="94"/>
      <c r="U550" s="94"/>
    </row>
    <row r="551" spans="1:21">
      <c r="A551" s="94"/>
      <c r="B551" s="94"/>
      <c r="C551" s="94"/>
      <c r="D551" s="94"/>
      <c r="E551" s="94"/>
      <c r="F551" s="94"/>
      <c r="G551" s="94"/>
      <c r="H551" s="94"/>
      <c r="I551" s="94"/>
      <c r="J551" s="94"/>
      <c r="K551" s="94"/>
      <c r="L551" s="94"/>
      <c r="M551" s="94"/>
      <c r="N551" s="94"/>
      <c r="O551" s="94"/>
      <c r="P551" s="94"/>
      <c r="Q551" s="94"/>
      <c r="R551" s="94"/>
      <c r="S551" s="94"/>
      <c r="T551" s="94"/>
      <c r="U551" s="94"/>
    </row>
    <row r="552" spans="1:21">
      <c r="A552" s="94"/>
      <c r="B552" s="94"/>
      <c r="C552" s="94"/>
      <c r="D552" s="94"/>
      <c r="E552" s="94"/>
      <c r="F552" s="94"/>
      <c r="G552" s="94"/>
      <c r="H552" s="94"/>
      <c r="I552" s="94"/>
      <c r="J552" s="94"/>
      <c r="K552" s="94"/>
      <c r="L552" s="94"/>
      <c r="M552" s="94"/>
      <c r="N552" s="94"/>
      <c r="O552" s="94"/>
      <c r="P552" s="94"/>
      <c r="Q552" s="94"/>
      <c r="R552" s="94"/>
      <c r="S552" s="94"/>
      <c r="T552" s="94"/>
      <c r="U552" s="94"/>
    </row>
    <row r="553" spans="1:21">
      <c r="A553" s="94"/>
      <c r="B553" s="94"/>
      <c r="C553" s="94"/>
      <c r="D553" s="94"/>
      <c r="E553" s="94"/>
      <c r="F553" s="94"/>
      <c r="G553" s="94"/>
      <c r="H553" s="94"/>
      <c r="I553" s="94"/>
      <c r="J553" s="94"/>
      <c r="K553" s="94"/>
      <c r="L553" s="94"/>
      <c r="M553" s="94"/>
      <c r="N553" s="94"/>
      <c r="O553" s="94"/>
      <c r="P553" s="94"/>
      <c r="Q553" s="94"/>
      <c r="R553" s="94"/>
      <c r="S553" s="94"/>
      <c r="T553" s="94"/>
      <c r="U553" s="94"/>
    </row>
    <row r="554" spans="1:21">
      <c r="A554" s="94"/>
      <c r="B554" s="94"/>
      <c r="C554" s="94"/>
      <c r="D554" s="94"/>
      <c r="E554" s="94"/>
      <c r="F554" s="94"/>
      <c r="G554" s="94"/>
      <c r="H554" s="94"/>
      <c r="I554" s="94"/>
      <c r="J554" s="94"/>
      <c r="K554" s="94"/>
      <c r="L554" s="94"/>
      <c r="M554" s="94"/>
      <c r="N554" s="94"/>
      <c r="O554" s="94"/>
      <c r="P554" s="94"/>
      <c r="Q554" s="94"/>
      <c r="R554" s="94"/>
      <c r="S554" s="94"/>
      <c r="T554" s="94"/>
      <c r="U554" s="94"/>
    </row>
    <row r="555" spans="1:21">
      <c r="A555" s="94"/>
      <c r="B555" s="94"/>
      <c r="C555" s="94"/>
      <c r="D555" s="94"/>
      <c r="E555" s="94"/>
      <c r="F555" s="94"/>
      <c r="G555" s="94"/>
      <c r="H555" s="94"/>
      <c r="I555" s="94"/>
      <c r="J555" s="94"/>
      <c r="K555" s="94"/>
      <c r="L555" s="94"/>
      <c r="M555" s="94"/>
      <c r="N555" s="94"/>
      <c r="O555" s="94"/>
      <c r="P555" s="94"/>
      <c r="Q555" s="94"/>
      <c r="R555" s="94"/>
      <c r="S555" s="94"/>
      <c r="T555" s="94"/>
      <c r="U555" s="94"/>
    </row>
    <row r="556" spans="1:21">
      <c r="A556" s="94"/>
      <c r="B556" s="94"/>
      <c r="C556" s="94"/>
      <c r="D556" s="94"/>
      <c r="E556" s="94"/>
      <c r="F556" s="94"/>
      <c r="G556" s="94"/>
      <c r="H556" s="94"/>
      <c r="I556" s="94"/>
      <c r="J556" s="94"/>
      <c r="K556" s="94"/>
      <c r="L556" s="94"/>
      <c r="M556" s="94"/>
      <c r="N556" s="94"/>
      <c r="O556" s="94"/>
      <c r="P556" s="94"/>
      <c r="Q556" s="94"/>
      <c r="R556" s="94"/>
      <c r="S556" s="94"/>
      <c r="T556" s="94"/>
      <c r="U556" s="94"/>
    </row>
    <row r="557" spans="1:21">
      <c r="A557" s="94"/>
      <c r="B557" s="94"/>
      <c r="C557" s="94"/>
      <c r="D557" s="94"/>
      <c r="E557" s="94"/>
      <c r="F557" s="94"/>
      <c r="G557" s="94"/>
      <c r="H557" s="94"/>
      <c r="I557" s="94"/>
      <c r="J557" s="94"/>
      <c r="K557" s="94"/>
      <c r="L557" s="94"/>
      <c r="M557" s="94"/>
      <c r="N557" s="94"/>
      <c r="O557" s="94"/>
      <c r="P557" s="94"/>
      <c r="Q557" s="94"/>
      <c r="R557" s="94"/>
      <c r="S557" s="94"/>
      <c r="T557" s="94"/>
      <c r="U557" s="94"/>
    </row>
    <row r="558" spans="1:21">
      <c r="A558" s="94"/>
      <c r="B558" s="94"/>
      <c r="C558" s="94"/>
      <c r="D558" s="94"/>
      <c r="E558" s="94"/>
      <c r="F558" s="94"/>
      <c r="G558" s="94"/>
      <c r="H558" s="94"/>
      <c r="I558" s="94"/>
      <c r="J558" s="94"/>
      <c r="K558" s="94"/>
      <c r="L558" s="94"/>
      <c r="M558" s="94"/>
      <c r="N558" s="94"/>
      <c r="O558" s="94"/>
      <c r="P558" s="94"/>
      <c r="Q558" s="94"/>
      <c r="R558" s="94"/>
      <c r="S558" s="94"/>
      <c r="T558" s="94"/>
      <c r="U558" s="94"/>
    </row>
    <row r="559" spans="1:21">
      <c r="A559" s="94"/>
      <c r="B559" s="94"/>
      <c r="C559" s="94"/>
      <c r="D559" s="94"/>
      <c r="E559" s="94"/>
      <c r="F559" s="94"/>
      <c r="G559" s="94"/>
      <c r="H559" s="94"/>
      <c r="I559" s="94"/>
      <c r="J559" s="94"/>
      <c r="K559" s="94"/>
      <c r="L559" s="94"/>
      <c r="M559" s="94"/>
      <c r="N559" s="94"/>
      <c r="O559" s="94"/>
      <c r="P559" s="94"/>
      <c r="Q559" s="94"/>
      <c r="R559" s="94"/>
      <c r="S559" s="94"/>
      <c r="T559" s="94"/>
      <c r="U559" s="94"/>
    </row>
    <row r="560" spans="1:21">
      <c r="A560" s="94"/>
      <c r="B560" s="94"/>
      <c r="C560" s="94"/>
      <c r="D560" s="94"/>
      <c r="E560" s="94"/>
      <c r="F560" s="94"/>
      <c r="G560" s="94"/>
      <c r="H560" s="94"/>
      <c r="I560" s="94"/>
      <c r="J560" s="94"/>
      <c r="K560" s="94"/>
      <c r="L560" s="94"/>
      <c r="M560" s="94"/>
      <c r="N560" s="94"/>
      <c r="O560" s="94"/>
      <c r="P560" s="94"/>
      <c r="Q560" s="94"/>
      <c r="R560" s="94"/>
      <c r="S560" s="94"/>
      <c r="T560" s="94"/>
      <c r="U560" s="94"/>
    </row>
    <row r="561" spans="1:21">
      <c r="A561" s="94"/>
      <c r="B561" s="94"/>
      <c r="C561" s="94"/>
      <c r="D561" s="94"/>
      <c r="E561" s="94"/>
      <c r="F561" s="94"/>
      <c r="G561" s="94"/>
      <c r="H561" s="94"/>
      <c r="I561" s="94"/>
      <c r="J561" s="94"/>
      <c r="K561" s="94"/>
      <c r="L561" s="94"/>
      <c r="M561" s="94"/>
      <c r="N561" s="94"/>
      <c r="O561" s="94"/>
      <c r="P561" s="94"/>
      <c r="Q561" s="94"/>
      <c r="R561" s="94"/>
      <c r="S561" s="94"/>
      <c r="T561" s="94"/>
      <c r="U561" s="94"/>
    </row>
    <row r="562" spans="1:21">
      <c r="A562" s="94"/>
      <c r="B562" s="94"/>
      <c r="C562" s="94"/>
      <c r="D562" s="94"/>
      <c r="E562" s="94"/>
      <c r="F562" s="94"/>
      <c r="G562" s="94"/>
      <c r="H562" s="94"/>
      <c r="I562" s="94"/>
      <c r="J562" s="94"/>
      <c r="K562" s="94"/>
      <c r="L562" s="94"/>
      <c r="M562" s="94"/>
      <c r="N562" s="94"/>
      <c r="O562" s="94"/>
      <c r="P562" s="94"/>
      <c r="Q562" s="94"/>
      <c r="R562" s="94"/>
      <c r="S562" s="94"/>
      <c r="T562" s="94"/>
      <c r="U562" s="94"/>
    </row>
    <row r="563" spans="1:21">
      <c r="A563" s="94"/>
      <c r="B563" s="94"/>
      <c r="C563" s="94"/>
      <c r="D563" s="94"/>
      <c r="E563" s="94"/>
      <c r="F563" s="94"/>
      <c r="G563" s="94"/>
      <c r="H563" s="94"/>
      <c r="I563" s="94"/>
      <c r="J563" s="94"/>
      <c r="K563" s="94"/>
      <c r="L563" s="94"/>
      <c r="M563" s="94"/>
      <c r="N563" s="94"/>
      <c r="O563" s="94"/>
      <c r="P563" s="94"/>
      <c r="Q563" s="94"/>
      <c r="R563" s="94"/>
      <c r="S563" s="94"/>
      <c r="T563" s="94"/>
      <c r="U563" s="94"/>
    </row>
    <row r="564" spans="1:21">
      <c r="A564" s="94"/>
      <c r="B564" s="94"/>
      <c r="C564" s="94"/>
      <c r="D564" s="94"/>
      <c r="E564" s="94"/>
      <c r="F564" s="94"/>
      <c r="G564" s="94"/>
      <c r="H564" s="94"/>
      <c r="I564" s="94"/>
      <c r="J564" s="94"/>
      <c r="K564" s="94"/>
      <c r="L564" s="94"/>
      <c r="M564" s="94"/>
      <c r="N564" s="94"/>
      <c r="O564" s="94"/>
      <c r="P564" s="94"/>
      <c r="Q564" s="94"/>
      <c r="R564" s="94"/>
      <c r="S564" s="94"/>
      <c r="T564" s="94"/>
      <c r="U564" s="94"/>
    </row>
    <row r="565" spans="1:21">
      <c r="A565" s="94"/>
      <c r="B565" s="94"/>
      <c r="C565" s="94"/>
      <c r="D565" s="94"/>
      <c r="E565" s="94"/>
      <c r="F565" s="94"/>
      <c r="G565" s="94"/>
      <c r="H565" s="94"/>
      <c r="I565" s="94"/>
      <c r="J565" s="94"/>
      <c r="K565" s="94"/>
      <c r="L565" s="94"/>
      <c r="M565" s="94"/>
      <c r="N565" s="94"/>
      <c r="O565" s="94"/>
      <c r="P565" s="94"/>
      <c r="Q565" s="94"/>
      <c r="R565" s="94"/>
      <c r="S565" s="94"/>
      <c r="T565" s="94"/>
      <c r="U565" s="94"/>
    </row>
    <row r="566" spans="1:21">
      <c r="A566" s="94"/>
      <c r="B566" s="94"/>
      <c r="C566" s="94"/>
      <c r="D566" s="94"/>
      <c r="E566" s="94"/>
      <c r="F566" s="94"/>
      <c r="G566" s="94"/>
      <c r="H566" s="94"/>
      <c r="I566" s="94"/>
      <c r="J566" s="94"/>
      <c r="K566" s="94"/>
      <c r="L566" s="94"/>
      <c r="M566" s="94"/>
      <c r="N566" s="94"/>
      <c r="O566" s="94"/>
      <c r="P566" s="94"/>
      <c r="Q566" s="94"/>
      <c r="R566" s="94"/>
      <c r="S566" s="94"/>
      <c r="T566" s="94"/>
      <c r="U566" s="94"/>
    </row>
    <row r="567" spans="1:21">
      <c r="A567" s="94"/>
      <c r="B567" s="94"/>
      <c r="C567" s="94"/>
      <c r="D567" s="94"/>
      <c r="E567" s="94"/>
      <c r="F567" s="94"/>
      <c r="G567" s="94"/>
      <c r="H567" s="94"/>
      <c r="I567" s="94"/>
      <c r="J567" s="94"/>
      <c r="K567" s="94"/>
      <c r="L567" s="94"/>
      <c r="M567" s="94"/>
      <c r="N567" s="94"/>
      <c r="O567" s="94"/>
      <c r="P567" s="94"/>
      <c r="Q567" s="94"/>
      <c r="R567" s="94"/>
      <c r="S567" s="94"/>
      <c r="T567" s="94"/>
      <c r="U567" s="94"/>
    </row>
    <row r="568" spans="1:21">
      <c r="A568" s="94"/>
      <c r="B568" s="94"/>
      <c r="C568" s="94"/>
      <c r="D568" s="94"/>
      <c r="E568" s="94"/>
      <c r="F568" s="94"/>
      <c r="G568" s="94"/>
      <c r="H568" s="94"/>
      <c r="I568" s="94"/>
      <c r="J568" s="94"/>
      <c r="K568" s="94"/>
      <c r="L568" s="94"/>
      <c r="M568" s="94"/>
      <c r="N568" s="94"/>
      <c r="O568" s="94"/>
      <c r="P568" s="94"/>
      <c r="Q568" s="94"/>
      <c r="R568" s="94"/>
      <c r="S568" s="94"/>
      <c r="T568" s="94"/>
      <c r="U568" s="94"/>
    </row>
    <row r="569" spans="1:21">
      <c r="A569" s="94"/>
      <c r="B569" s="94"/>
      <c r="C569" s="94"/>
      <c r="D569" s="94"/>
      <c r="E569" s="94"/>
      <c r="F569" s="94"/>
      <c r="G569" s="94"/>
      <c r="H569" s="94"/>
      <c r="I569" s="94"/>
      <c r="J569" s="94"/>
      <c r="K569" s="94"/>
      <c r="L569" s="94"/>
      <c r="M569" s="94"/>
      <c r="N569" s="94"/>
      <c r="O569" s="94"/>
      <c r="P569" s="94"/>
      <c r="Q569" s="94"/>
      <c r="R569" s="94"/>
      <c r="S569" s="94"/>
      <c r="T569" s="94"/>
      <c r="U569" s="94"/>
    </row>
    <row r="570" spans="1:21">
      <c r="A570" s="94"/>
      <c r="B570" s="94"/>
      <c r="C570" s="94"/>
      <c r="D570" s="94"/>
      <c r="E570" s="94"/>
      <c r="F570" s="94"/>
      <c r="G570" s="94"/>
      <c r="H570" s="94"/>
      <c r="I570" s="94"/>
      <c r="J570" s="94"/>
      <c r="K570" s="94"/>
      <c r="L570" s="94"/>
      <c r="M570" s="94"/>
      <c r="N570" s="94"/>
      <c r="O570" s="94"/>
      <c r="P570" s="94"/>
      <c r="Q570" s="94"/>
      <c r="R570" s="94"/>
      <c r="S570" s="94"/>
      <c r="T570" s="94"/>
      <c r="U570" s="94"/>
    </row>
    <row r="571" spans="1:21">
      <c r="A571" s="94"/>
      <c r="B571" s="94"/>
      <c r="C571" s="94"/>
      <c r="D571" s="94"/>
      <c r="E571" s="94"/>
      <c r="F571" s="94"/>
      <c r="G571" s="94"/>
      <c r="H571" s="94"/>
      <c r="I571" s="94"/>
      <c r="J571" s="94"/>
      <c r="K571" s="94"/>
      <c r="L571" s="94"/>
      <c r="M571" s="94"/>
      <c r="N571" s="94"/>
      <c r="O571" s="94"/>
      <c r="P571" s="94"/>
      <c r="Q571" s="94"/>
      <c r="R571" s="94"/>
      <c r="S571" s="94"/>
      <c r="T571" s="94"/>
      <c r="U571" s="94"/>
    </row>
    <row r="572" spans="1:21">
      <c r="A572" s="94"/>
      <c r="B572" s="94"/>
      <c r="C572" s="94"/>
      <c r="D572" s="94"/>
      <c r="E572" s="94"/>
      <c r="F572" s="94"/>
      <c r="G572" s="94"/>
      <c r="H572" s="94"/>
      <c r="I572" s="94"/>
      <c r="J572" s="94"/>
      <c r="K572" s="94"/>
      <c r="L572" s="94"/>
      <c r="M572" s="94"/>
      <c r="N572" s="94"/>
      <c r="O572" s="94"/>
      <c r="P572" s="94"/>
      <c r="Q572" s="94"/>
      <c r="R572" s="94"/>
      <c r="S572" s="94"/>
      <c r="T572" s="94"/>
      <c r="U572" s="94"/>
    </row>
    <row r="573" spans="1:21">
      <c r="A573" s="94"/>
      <c r="B573" s="94"/>
      <c r="C573" s="94"/>
      <c r="D573" s="94"/>
      <c r="E573" s="94"/>
      <c r="F573" s="94"/>
      <c r="G573" s="94"/>
      <c r="H573" s="94"/>
      <c r="I573" s="94"/>
      <c r="J573" s="94"/>
      <c r="K573" s="94"/>
      <c r="L573" s="94"/>
      <c r="M573" s="94"/>
      <c r="N573" s="94"/>
      <c r="O573" s="94"/>
      <c r="P573" s="94"/>
      <c r="Q573" s="94"/>
      <c r="R573" s="94"/>
      <c r="S573" s="94"/>
      <c r="T573" s="94"/>
      <c r="U573" s="94"/>
    </row>
    <row r="574" spans="1:21">
      <c r="A574" s="94"/>
      <c r="B574" s="94"/>
      <c r="C574" s="94"/>
      <c r="D574" s="94"/>
      <c r="E574" s="94"/>
      <c r="F574" s="94"/>
      <c r="G574" s="94"/>
      <c r="H574" s="94"/>
      <c r="I574" s="94"/>
      <c r="J574" s="94"/>
      <c r="K574" s="94"/>
      <c r="L574" s="94"/>
      <c r="M574" s="94"/>
      <c r="N574" s="94"/>
      <c r="O574" s="94"/>
      <c r="P574" s="94"/>
      <c r="Q574" s="94"/>
      <c r="R574" s="94"/>
      <c r="S574" s="94"/>
      <c r="T574" s="94"/>
      <c r="U574" s="94"/>
    </row>
    <row r="575" spans="1:21">
      <c r="A575" s="94"/>
      <c r="B575" s="94"/>
      <c r="C575" s="94"/>
      <c r="D575" s="94"/>
      <c r="E575" s="94"/>
      <c r="F575" s="94"/>
      <c r="G575" s="94"/>
      <c r="H575" s="94"/>
      <c r="I575" s="94"/>
      <c r="J575" s="94"/>
      <c r="K575" s="94"/>
      <c r="L575" s="94"/>
      <c r="M575" s="94"/>
      <c r="N575" s="94"/>
      <c r="O575" s="94"/>
      <c r="P575" s="94"/>
      <c r="Q575" s="94"/>
      <c r="R575" s="94"/>
      <c r="S575" s="94"/>
      <c r="T575" s="94"/>
      <c r="U575" s="94"/>
    </row>
    <row r="576" spans="1:21">
      <c r="A576" s="94"/>
      <c r="B576" s="94"/>
      <c r="C576" s="94"/>
      <c r="D576" s="94"/>
      <c r="E576" s="94"/>
      <c r="F576" s="94"/>
      <c r="G576" s="94"/>
      <c r="H576" s="94"/>
      <c r="I576" s="94"/>
      <c r="J576" s="94"/>
      <c r="K576" s="94"/>
      <c r="L576" s="94"/>
      <c r="M576" s="94"/>
      <c r="N576" s="94"/>
      <c r="O576" s="94"/>
      <c r="P576" s="94"/>
      <c r="Q576" s="94"/>
      <c r="R576" s="94"/>
      <c r="S576" s="94"/>
      <c r="T576" s="94"/>
      <c r="U576" s="94"/>
    </row>
    <row r="577" spans="1:21">
      <c r="A577" s="94"/>
      <c r="B577" s="94"/>
      <c r="C577" s="94"/>
      <c r="D577" s="94"/>
      <c r="E577" s="94"/>
      <c r="F577" s="94"/>
      <c r="G577" s="94"/>
      <c r="H577" s="94"/>
      <c r="I577" s="94"/>
      <c r="J577" s="94"/>
      <c r="K577" s="94"/>
      <c r="L577" s="94"/>
      <c r="M577" s="94"/>
      <c r="N577" s="94"/>
      <c r="O577" s="94"/>
      <c r="P577" s="94"/>
      <c r="Q577" s="94"/>
      <c r="R577" s="94"/>
      <c r="S577" s="94"/>
      <c r="T577" s="94"/>
      <c r="U577" s="94"/>
    </row>
    <row r="578" spans="1:21">
      <c r="A578" s="94"/>
      <c r="B578" s="94"/>
      <c r="C578" s="94"/>
      <c r="D578" s="94"/>
      <c r="E578" s="94"/>
      <c r="F578" s="94"/>
      <c r="G578" s="94"/>
      <c r="H578" s="94"/>
      <c r="I578" s="94"/>
      <c r="J578" s="94"/>
      <c r="K578" s="94"/>
      <c r="L578" s="94"/>
      <c r="M578" s="94"/>
      <c r="N578" s="94"/>
      <c r="O578" s="94"/>
      <c r="P578" s="94"/>
      <c r="Q578" s="94"/>
      <c r="R578" s="94"/>
      <c r="S578" s="94"/>
      <c r="T578" s="94"/>
      <c r="U578" s="94"/>
    </row>
    <row r="579" spans="1:21">
      <c r="A579" s="94"/>
      <c r="B579" s="94"/>
      <c r="C579" s="94"/>
      <c r="D579" s="94"/>
      <c r="E579" s="94"/>
      <c r="F579" s="94"/>
      <c r="G579" s="94"/>
      <c r="H579" s="94"/>
      <c r="I579" s="94"/>
      <c r="J579" s="94"/>
      <c r="K579" s="94"/>
      <c r="L579" s="94"/>
      <c r="M579" s="94"/>
      <c r="N579" s="94"/>
      <c r="O579" s="94"/>
      <c r="P579" s="94"/>
      <c r="Q579" s="94"/>
      <c r="R579" s="94"/>
      <c r="S579" s="94"/>
      <c r="T579" s="94"/>
      <c r="U579" s="94"/>
    </row>
    <row r="580" spans="1:21">
      <c r="A580" s="94"/>
      <c r="B580" s="94"/>
      <c r="C580" s="94"/>
      <c r="D580" s="94"/>
      <c r="E580" s="94"/>
      <c r="F580" s="94"/>
      <c r="G580" s="94"/>
      <c r="H580" s="94"/>
      <c r="I580" s="94"/>
      <c r="J580" s="94"/>
      <c r="K580" s="94"/>
      <c r="L580" s="94"/>
      <c r="M580" s="94"/>
      <c r="N580" s="94"/>
      <c r="O580" s="94"/>
      <c r="P580" s="94"/>
      <c r="Q580" s="94"/>
      <c r="R580" s="94"/>
      <c r="S580" s="94"/>
      <c r="T580" s="94"/>
      <c r="U580" s="94"/>
    </row>
    <row r="581" spans="1:21">
      <c r="A581" s="94"/>
      <c r="B581" s="94"/>
      <c r="C581" s="94"/>
      <c r="D581" s="94"/>
      <c r="E581" s="94"/>
      <c r="F581" s="94"/>
      <c r="G581" s="94"/>
      <c r="H581" s="94"/>
      <c r="I581" s="94"/>
      <c r="J581" s="94"/>
      <c r="K581" s="94"/>
      <c r="L581" s="94"/>
      <c r="M581" s="94"/>
      <c r="N581" s="94"/>
      <c r="O581" s="94"/>
      <c r="P581" s="94"/>
      <c r="Q581" s="94"/>
      <c r="R581" s="94"/>
      <c r="S581" s="94"/>
      <c r="T581" s="94"/>
      <c r="U581" s="94"/>
    </row>
    <row r="582" spans="1:21">
      <c r="A582" s="94"/>
      <c r="B582" s="94"/>
      <c r="C582" s="94"/>
      <c r="D582" s="94"/>
      <c r="E582" s="94"/>
      <c r="F582" s="94"/>
      <c r="G582" s="94"/>
      <c r="H582" s="94"/>
      <c r="I582" s="94"/>
      <c r="J582" s="94"/>
      <c r="K582" s="94"/>
      <c r="L582" s="94"/>
      <c r="M582" s="94"/>
      <c r="N582" s="94"/>
      <c r="O582" s="94"/>
      <c r="P582" s="94"/>
      <c r="Q582" s="94"/>
      <c r="R582" s="94"/>
      <c r="S582" s="94"/>
      <c r="T582" s="94"/>
      <c r="U582" s="94"/>
    </row>
    <row r="583" spans="1:21">
      <c r="A583" s="94"/>
      <c r="B583" s="94"/>
      <c r="C583" s="94"/>
      <c r="D583" s="94"/>
      <c r="E583" s="94"/>
      <c r="F583" s="94"/>
      <c r="G583" s="94"/>
      <c r="H583" s="94"/>
      <c r="I583" s="94"/>
      <c r="J583" s="94"/>
      <c r="K583" s="94"/>
      <c r="L583" s="94"/>
      <c r="M583" s="94"/>
      <c r="N583" s="94"/>
      <c r="O583" s="94"/>
      <c r="P583" s="94"/>
      <c r="Q583" s="94"/>
      <c r="R583" s="94"/>
      <c r="S583" s="94"/>
      <c r="T583" s="94"/>
      <c r="U583" s="94"/>
    </row>
    <row r="584" spans="1:21">
      <c r="A584" s="94"/>
      <c r="B584" s="94"/>
      <c r="C584" s="94"/>
      <c r="D584" s="94"/>
      <c r="E584" s="94"/>
      <c r="F584" s="94"/>
      <c r="G584" s="94"/>
      <c r="H584" s="94"/>
      <c r="I584" s="94"/>
      <c r="J584" s="94"/>
      <c r="K584" s="94"/>
      <c r="L584" s="94"/>
      <c r="M584" s="94"/>
      <c r="N584" s="94"/>
      <c r="O584" s="94"/>
      <c r="P584" s="94"/>
      <c r="Q584" s="94"/>
      <c r="R584" s="94"/>
      <c r="S584" s="94"/>
      <c r="T584" s="94"/>
      <c r="U584" s="94"/>
    </row>
    <row r="585" spans="1:21">
      <c r="A585" s="94"/>
      <c r="B585" s="94"/>
      <c r="C585" s="94"/>
      <c r="D585" s="94"/>
      <c r="E585" s="94"/>
      <c r="F585" s="94"/>
      <c r="G585" s="94"/>
      <c r="H585" s="94"/>
      <c r="I585" s="94"/>
      <c r="J585" s="94"/>
      <c r="K585" s="94"/>
      <c r="L585" s="94"/>
      <c r="M585" s="94"/>
      <c r="N585" s="94"/>
      <c r="O585" s="94"/>
      <c r="P585" s="94"/>
      <c r="Q585" s="94"/>
      <c r="R585" s="94"/>
      <c r="S585" s="94"/>
      <c r="T585" s="94"/>
      <c r="U585" s="94"/>
    </row>
    <row r="586" spans="1:21">
      <c r="A586" s="94"/>
      <c r="B586" s="94"/>
      <c r="C586" s="94"/>
      <c r="D586" s="94"/>
      <c r="E586" s="94"/>
      <c r="F586" s="94"/>
      <c r="G586" s="94"/>
      <c r="H586" s="94"/>
      <c r="I586" s="94"/>
      <c r="J586" s="94"/>
      <c r="K586" s="94"/>
      <c r="L586" s="94"/>
      <c r="M586" s="94"/>
      <c r="N586" s="94"/>
      <c r="O586" s="94"/>
      <c r="P586" s="94"/>
      <c r="Q586" s="94"/>
      <c r="R586" s="94"/>
      <c r="S586" s="94"/>
      <c r="T586" s="94"/>
      <c r="U586" s="94"/>
    </row>
    <row r="587" spans="1:21">
      <c r="A587" s="94"/>
      <c r="B587" s="94"/>
      <c r="C587" s="94"/>
      <c r="D587" s="94"/>
      <c r="E587" s="94"/>
      <c r="F587" s="94"/>
      <c r="G587" s="94"/>
      <c r="H587" s="94"/>
      <c r="I587" s="94"/>
      <c r="J587" s="94"/>
      <c r="K587" s="94"/>
      <c r="L587" s="94"/>
      <c r="M587" s="94"/>
      <c r="N587" s="94"/>
      <c r="O587" s="94"/>
      <c r="P587" s="94"/>
      <c r="Q587" s="94"/>
      <c r="R587" s="94"/>
      <c r="S587" s="94"/>
      <c r="T587" s="94"/>
      <c r="U587" s="94"/>
    </row>
    <row r="588" spans="1:21">
      <c r="A588" s="94"/>
      <c r="B588" s="94"/>
      <c r="C588" s="94"/>
      <c r="D588" s="94"/>
      <c r="E588" s="94"/>
      <c r="F588" s="94"/>
      <c r="G588" s="94"/>
      <c r="H588" s="94"/>
      <c r="I588" s="94"/>
      <c r="J588" s="94"/>
      <c r="K588" s="94"/>
      <c r="L588" s="94"/>
      <c r="M588" s="94"/>
      <c r="N588" s="94"/>
      <c r="O588" s="94"/>
      <c r="P588" s="94"/>
      <c r="Q588" s="94"/>
      <c r="R588" s="94"/>
      <c r="S588" s="94"/>
      <c r="T588" s="94"/>
      <c r="U588" s="94"/>
    </row>
    <row r="589" spans="1:21">
      <c r="A589" s="94"/>
      <c r="B589" s="94"/>
      <c r="C589" s="94"/>
      <c r="D589" s="94"/>
      <c r="E589" s="94"/>
      <c r="F589" s="94"/>
      <c r="G589" s="94"/>
      <c r="H589" s="94"/>
      <c r="I589" s="94"/>
      <c r="J589" s="94"/>
      <c r="K589" s="94"/>
      <c r="L589" s="94"/>
      <c r="M589" s="94"/>
      <c r="N589" s="94"/>
      <c r="O589" s="94"/>
      <c r="P589" s="94"/>
      <c r="Q589" s="94"/>
      <c r="R589" s="94"/>
      <c r="S589" s="94"/>
      <c r="T589" s="94"/>
      <c r="U589" s="94"/>
    </row>
    <row r="590" spans="1:21">
      <c r="A590" s="94"/>
      <c r="B590" s="94"/>
      <c r="C590" s="94"/>
      <c r="D590" s="94"/>
      <c r="E590" s="94"/>
      <c r="F590" s="94"/>
      <c r="G590" s="94"/>
      <c r="H590" s="94"/>
      <c r="I590" s="94"/>
      <c r="J590" s="94"/>
      <c r="K590" s="94"/>
      <c r="L590" s="94"/>
      <c r="M590" s="94"/>
      <c r="N590" s="94"/>
      <c r="O590" s="94"/>
      <c r="P590" s="94"/>
      <c r="Q590" s="94"/>
      <c r="R590" s="94"/>
      <c r="S590" s="94"/>
      <c r="T590" s="94"/>
      <c r="U590" s="94"/>
    </row>
    <row r="591" spans="1:21">
      <c r="A591" s="94"/>
      <c r="B591" s="94"/>
      <c r="C591" s="94"/>
      <c r="D591" s="94"/>
      <c r="E591" s="94"/>
      <c r="F591" s="94"/>
      <c r="G591" s="94"/>
      <c r="H591" s="94"/>
      <c r="I591" s="94"/>
      <c r="J591" s="94"/>
      <c r="K591" s="94"/>
      <c r="L591" s="94"/>
      <c r="M591" s="94"/>
      <c r="N591" s="94"/>
      <c r="O591" s="94"/>
      <c r="P591" s="94"/>
      <c r="Q591" s="94"/>
      <c r="R591" s="94"/>
      <c r="S591" s="94"/>
      <c r="T591" s="94"/>
      <c r="U591" s="94"/>
    </row>
    <row r="592" spans="1:21">
      <c r="A592" s="94"/>
      <c r="B592" s="94"/>
      <c r="C592" s="94"/>
      <c r="D592" s="94"/>
      <c r="E592" s="94"/>
      <c r="F592" s="94"/>
      <c r="G592" s="94"/>
      <c r="H592" s="94"/>
      <c r="I592" s="94"/>
      <c r="J592" s="94"/>
      <c r="K592" s="94"/>
      <c r="L592" s="94"/>
      <c r="M592" s="94"/>
      <c r="N592" s="94"/>
      <c r="O592" s="94"/>
      <c r="P592" s="94"/>
      <c r="Q592" s="94"/>
      <c r="R592" s="94"/>
      <c r="S592" s="94"/>
      <c r="T592" s="94"/>
      <c r="U592" s="94"/>
    </row>
    <row r="593" spans="1:21">
      <c r="A593" s="94"/>
      <c r="B593" s="94"/>
      <c r="C593" s="94"/>
      <c r="D593" s="94"/>
      <c r="E593" s="94"/>
      <c r="F593" s="94"/>
      <c r="G593" s="94"/>
      <c r="H593" s="94"/>
      <c r="I593" s="94"/>
      <c r="J593" s="94"/>
      <c r="K593" s="94"/>
      <c r="L593" s="94"/>
      <c r="M593" s="94"/>
      <c r="N593" s="94"/>
      <c r="O593" s="94"/>
      <c r="P593" s="94"/>
      <c r="Q593" s="94"/>
      <c r="R593" s="94"/>
      <c r="S593" s="94"/>
      <c r="T593" s="94"/>
      <c r="U593" s="94"/>
    </row>
    <row r="594" spans="1:21">
      <c r="A594" s="94"/>
      <c r="B594" s="94"/>
      <c r="C594" s="94"/>
      <c r="D594" s="94"/>
      <c r="E594" s="94"/>
      <c r="F594" s="94"/>
      <c r="G594" s="94"/>
      <c r="H594" s="94"/>
      <c r="I594" s="94"/>
      <c r="J594" s="94"/>
      <c r="K594" s="94"/>
      <c r="L594" s="94"/>
      <c r="M594" s="94"/>
      <c r="N594" s="94"/>
      <c r="O594" s="94"/>
      <c r="P594" s="94"/>
      <c r="Q594" s="94"/>
      <c r="R594" s="94"/>
      <c r="S594" s="94"/>
      <c r="T594" s="94"/>
      <c r="U594" s="94"/>
    </row>
    <row r="595" spans="1:21">
      <c r="A595" s="94"/>
      <c r="B595" s="94"/>
      <c r="C595" s="94"/>
      <c r="D595" s="94"/>
      <c r="E595" s="94"/>
      <c r="F595" s="94"/>
      <c r="G595" s="94"/>
      <c r="H595" s="94"/>
      <c r="I595" s="94"/>
      <c r="J595" s="94"/>
      <c r="K595" s="94"/>
      <c r="L595" s="94"/>
      <c r="M595" s="94"/>
      <c r="N595" s="94"/>
      <c r="O595" s="94"/>
      <c r="P595" s="94"/>
      <c r="Q595" s="94"/>
      <c r="R595" s="94"/>
      <c r="S595" s="94"/>
      <c r="T595" s="94"/>
      <c r="U595" s="94"/>
    </row>
    <row r="596" spans="1:21">
      <c r="A596" s="94"/>
      <c r="B596" s="94"/>
      <c r="C596" s="94"/>
      <c r="D596" s="94"/>
      <c r="E596" s="94"/>
      <c r="F596" s="94"/>
      <c r="G596" s="94"/>
      <c r="H596" s="94"/>
      <c r="I596" s="94"/>
      <c r="J596" s="94"/>
      <c r="K596" s="94"/>
      <c r="L596" s="94"/>
      <c r="M596" s="94"/>
      <c r="N596" s="94"/>
      <c r="O596" s="94"/>
      <c r="P596" s="94"/>
      <c r="Q596" s="94"/>
      <c r="R596" s="94"/>
      <c r="S596" s="94"/>
      <c r="T596" s="94"/>
      <c r="U596" s="94"/>
    </row>
    <row r="597" spans="1:21">
      <c r="A597" s="94"/>
      <c r="B597" s="94"/>
      <c r="C597" s="94"/>
      <c r="D597" s="94"/>
      <c r="E597" s="94"/>
      <c r="F597" s="94"/>
      <c r="G597" s="94"/>
      <c r="H597" s="94"/>
      <c r="I597" s="94"/>
      <c r="J597" s="94"/>
      <c r="K597" s="94"/>
      <c r="L597" s="94"/>
      <c r="M597" s="94"/>
      <c r="N597" s="94"/>
      <c r="O597" s="94"/>
      <c r="P597" s="94"/>
      <c r="Q597" s="94"/>
      <c r="R597" s="94"/>
      <c r="S597" s="94"/>
      <c r="T597" s="94"/>
      <c r="U597" s="94"/>
    </row>
    <row r="598" spans="1:21">
      <c r="A598" s="94"/>
      <c r="B598" s="94"/>
      <c r="C598" s="94"/>
      <c r="D598" s="94"/>
      <c r="E598" s="94"/>
      <c r="F598" s="94"/>
      <c r="G598" s="94"/>
      <c r="H598" s="94"/>
      <c r="I598" s="94"/>
      <c r="J598" s="94"/>
      <c r="K598" s="94"/>
      <c r="L598" s="94"/>
      <c r="M598" s="94"/>
      <c r="N598" s="94"/>
      <c r="O598" s="94"/>
      <c r="P598" s="94"/>
      <c r="Q598" s="94"/>
      <c r="R598" s="94"/>
      <c r="S598" s="94"/>
      <c r="T598" s="94"/>
      <c r="U598" s="94"/>
    </row>
    <row r="599" spans="1:21">
      <c r="A599" s="94"/>
      <c r="B599" s="94"/>
      <c r="C599" s="94"/>
      <c r="D599" s="94"/>
      <c r="E599" s="94"/>
      <c r="F599" s="94"/>
      <c r="G599" s="94"/>
      <c r="H599" s="94"/>
      <c r="I599" s="94"/>
      <c r="J599" s="94"/>
      <c r="K599" s="94"/>
      <c r="L599" s="94"/>
      <c r="M599" s="94"/>
      <c r="N599" s="94"/>
      <c r="O599" s="94"/>
      <c r="P599" s="94"/>
      <c r="Q599" s="94"/>
      <c r="R599" s="94"/>
      <c r="S599" s="94"/>
      <c r="T599" s="94"/>
      <c r="U599" s="94"/>
    </row>
    <row r="600" spans="1:21">
      <c r="A600" s="94"/>
      <c r="B600" s="94"/>
      <c r="C600" s="94"/>
      <c r="D600" s="94"/>
      <c r="E600" s="94"/>
      <c r="F600" s="94"/>
      <c r="G600" s="94"/>
      <c r="H600" s="94"/>
      <c r="I600" s="94"/>
      <c r="J600" s="94"/>
      <c r="K600" s="94"/>
      <c r="L600" s="94"/>
      <c r="M600" s="94"/>
      <c r="N600" s="94"/>
      <c r="O600" s="94"/>
      <c r="P600" s="94"/>
      <c r="Q600" s="94"/>
      <c r="R600" s="94"/>
      <c r="S600" s="94"/>
      <c r="T600" s="94"/>
      <c r="U600" s="94"/>
    </row>
    <row r="601" spans="1:21">
      <c r="A601" s="94"/>
      <c r="B601" s="94"/>
      <c r="C601" s="94"/>
      <c r="D601" s="94"/>
      <c r="E601" s="94"/>
      <c r="F601" s="94"/>
      <c r="G601" s="94"/>
      <c r="H601" s="94"/>
      <c r="I601" s="94"/>
      <c r="J601" s="94"/>
      <c r="K601" s="94"/>
      <c r="L601" s="94"/>
      <c r="M601" s="94"/>
      <c r="N601" s="94"/>
      <c r="O601" s="94"/>
      <c r="P601" s="94"/>
      <c r="Q601" s="94"/>
      <c r="R601" s="94"/>
      <c r="S601" s="94"/>
      <c r="T601" s="94"/>
      <c r="U601" s="94"/>
    </row>
    <row r="602" spans="1:21">
      <c r="A602" s="94"/>
      <c r="B602" s="94"/>
      <c r="C602" s="94"/>
      <c r="D602" s="94"/>
      <c r="E602" s="94"/>
      <c r="F602" s="94"/>
      <c r="G602" s="94"/>
      <c r="H602" s="94"/>
      <c r="I602" s="94"/>
      <c r="J602" s="94"/>
      <c r="K602" s="94"/>
      <c r="L602" s="94"/>
      <c r="M602" s="94"/>
      <c r="N602" s="94"/>
      <c r="O602" s="94"/>
      <c r="P602" s="94"/>
      <c r="Q602" s="94"/>
      <c r="R602" s="94"/>
      <c r="S602" s="94"/>
      <c r="T602" s="94"/>
      <c r="U602" s="94"/>
    </row>
    <row r="603" spans="1:21">
      <c r="A603" s="94"/>
      <c r="B603" s="94"/>
      <c r="C603" s="94"/>
      <c r="D603" s="94"/>
      <c r="E603" s="94"/>
      <c r="F603" s="94"/>
      <c r="G603" s="94"/>
      <c r="H603" s="94"/>
      <c r="I603" s="94"/>
      <c r="J603" s="94"/>
      <c r="K603" s="94"/>
      <c r="L603" s="94"/>
      <c r="M603" s="94"/>
      <c r="N603" s="94"/>
      <c r="O603" s="94"/>
      <c r="P603" s="94"/>
      <c r="Q603" s="94"/>
      <c r="R603" s="94"/>
      <c r="S603" s="94"/>
      <c r="T603" s="94"/>
      <c r="U603" s="94"/>
    </row>
    <row r="604" spans="1:21">
      <c r="A604" s="94"/>
      <c r="B604" s="94"/>
      <c r="C604" s="94"/>
      <c r="D604" s="94"/>
      <c r="E604" s="94"/>
      <c r="F604" s="94"/>
      <c r="G604" s="94"/>
      <c r="H604" s="94"/>
      <c r="I604" s="94"/>
      <c r="J604" s="94"/>
      <c r="K604" s="94"/>
      <c r="L604" s="94"/>
      <c r="M604" s="94"/>
      <c r="N604" s="94"/>
      <c r="O604" s="94"/>
      <c r="P604" s="94"/>
      <c r="Q604" s="94"/>
      <c r="R604" s="94"/>
      <c r="S604" s="94"/>
      <c r="T604" s="94"/>
      <c r="U604" s="94"/>
    </row>
    <row r="605" spans="1:21">
      <c r="A605" s="94"/>
      <c r="B605" s="94"/>
      <c r="C605" s="94"/>
      <c r="D605" s="94"/>
      <c r="E605" s="94"/>
      <c r="F605" s="94"/>
      <c r="G605" s="94"/>
      <c r="H605" s="94"/>
      <c r="I605" s="94"/>
      <c r="J605" s="94"/>
      <c r="K605" s="94"/>
      <c r="L605" s="94"/>
      <c r="M605" s="94"/>
      <c r="N605" s="94"/>
      <c r="O605" s="94"/>
      <c r="P605" s="94"/>
      <c r="Q605" s="94"/>
      <c r="R605" s="94"/>
      <c r="S605" s="94"/>
      <c r="T605" s="94"/>
      <c r="U605" s="94"/>
    </row>
    <row r="606" spans="1:21">
      <c r="A606" s="94"/>
      <c r="B606" s="94"/>
      <c r="C606" s="94"/>
      <c r="D606" s="94"/>
      <c r="E606" s="94"/>
      <c r="F606" s="94"/>
      <c r="G606" s="94"/>
      <c r="H606" s="94"/>
      <c r="I606" s="94"/>
      <c r="J606" s="94"/>
      <c r="K606" s="94"/>
      <c r="L606" s="94"/>
      <c r="M606" s="94"/>
      <c r="N606" s="94"/>
      <c r="O606" s="94"/>
      <c r="P606" s="94"/>
      <c r="Q606" s="94"/>
      <c r="R606" s="94"/>
      <c r="S606" s="94"/>
      <c r="T606" s="94"/>
      <c r="U606" s="94"/>
    </row>
    <row r="607" spans="1:21">
      <c r="A607" s="94"/>
      <c r="B607" s="94"/>
      <c r="C607" s="94"/>
      <c r="D607" s="94"/>
      <c r="E607" s="94"/>
      <c r="F607" s="94"/>
      <c r="G607" s="94"/>
      <c r="H607" s="94"/>
      <c r="I607" s="94"/>
      <c r="J607" s="94"/>
      <c r="K607" s="94"/>
      <c r="L607" s="94"/>
      <c r="M607" s="94"/>
      <c r="N607" s="94"/>
      <c r="O607" s="94"/>
      <c r="P607" s="94"/>
      <c r="Q607" s="94"/>
      <c r="R607" s="94"/>
      <c r="S607" s="94"/>
      <c r="T607" s="94"/>
      <c r="U607" s="94"/>
    </row>
    <row r="608" spans="1:21">
      <c r="A608" s="94"/>
      <c r="B608" s="94"/>
      <c r="C608" s="94"/>
      <c r="D608" s="94"/>
      <c r="E608" s="94"/>
      <c r="F608" s="94"/>
      <c r="G608" s="94"/>
      <c r="H608" s="94"/>
      <c r="I608" s="94"/>
      <c r="J608" s="94"/>
      <c r="K608" s="94"/>
      <c r="L608" s="94"/>
      <c r="M608" s="94"/>
      <c r="N608" s="94"/>
      <c r="O608" s="94"/>
      <c r="P608" s="94"/>
      <c r="Q608" s="94"/>
      <c r="R608" s="94"/>
      <c r="S608" s="94"/>
      <c r="T608" s="94"/>
      <c r="U608" s="94"/>
    </row>
    <row r="609" spans="1:21">
      <c r="A609" s="94"/>
      <c r="B609" s="94"/>
      <c r="C609" s="94"/>
      <c r="D609" s="94"/>
      <c r="E609" s="94"/>
      <c r="F609" s="94"/>
      <c r="G609" s="94"/>
      <c r="H609" s="94"/>
      <c r="I609" s="94"/>
      <c r="J609" s="94"/>
      <c r="K609" s="94"/>
      <c r="L609" s="94"/>
      <c r="M609" s="94"/>
      <c r="N609" s="94"/>
      <c r="O609" s="94"/>
      <c r="P609" s="94"/>
      <c r="Q609" s="94"/>
      <c r="R609" s="94"/>
      <c r="S609" s="94"/>
      <c r="T609" s="94"/>
      <c r="U609" s="94"/>
    </row>
    <row r="610" spans="1:21">
      <c r="A610" s="94"/>
      <c r="B610" s="94"/>
      <c r="C610" s="94"/>
      <c r="D610" s="94"/>
      <c r="E610" s="94"/>
      <c r="F610" s="94"/>
      <c r="G610" s="94"/>
      <c r="H610" s="94"/>
      <c r="I610" s="94"/>
      <c r="J610" s="94"/>
      <c r="K610" s="94"/>
      <c r="L610" s="94"/>
      <c r="M610" s="94"/>
      <c r="N610" s="94"/>
      <c r="O610" s="94"/>
      <c r="P610" s="94"/>
      <c r="Q610" s="94"/>
      <c r="R610" s="94"/>
      <c r="S610" s="94"/>
      <c r="T610" s="94"/>
      <c r="U610" s="94"/>
    </row>
    <row r="611" spans="1:21">
      <c r="A611" s="94"/>
      <c r="B611" s="94"/>
      <c r="C611" s="94"/>
      <c r="D611" s="94"/>
      <c r="E611" s="94"/>
      <c r="F611" s="94"/>
      <c r="G611" s="94"/>
      <c r="H611" s="94"/>
      <c r="I611" s="94"/>
      <c r="J611" s="94"/>
      <c r="K611" s="94"/>
      <c r="L611" s="94"/>
      <c r="M611" s="94"/>
      <c r="N611" s="94"/>
      <c r="O611" s="94"/>
      <c r="P611" s="94"/>
      <c r="Q611" s="94"/>
      <c r="R611" s="94"/>
      <c r="S611" s="94"/>
      <c r="T611" s="94"/>
      <c r="U611" s="94"/>
    </row>
    <row r="612" spans="1:21">
      <c r="A612" s="94"/>
      <c r="B612" s="94"/>
      <c r="C612" s="94"/>
      <c r="D612" s="94"/>
      <c r="E612" s="94"/>
      <c r="F612" s="94"/>
      <c r="G612" s="94"/>
      <c r="H612" s="94"/>
      <c r="I612" s="94"/>
      <c r="J612" s="94"/>
      <c r="K612" s="94"/>
      <c r="L612" s="94"/>
      <c r="M612" s="94"/>
      <c r="N612" s="94"/>
      <c r="O612" s="94"/>
      <c r="P612" s="94"/>
      <c r="Q612" s="94"/>
      <c r="R612" s="94"/>
      <c r="S612" s="94"/>
      <c r="T612" s="94"/>
      <c r="U612" s="94"/>
    </row>
    <row r="613" spans="1:21">
      <c r="A613" s="94"/>
      <c r="B613" s="94"/>
      <c r="C613" s="94"/>
      <c r="D613" s="94"/>
      <c r="E613" s="94"/>
      <c r="F613" s="94"/>
      <c r="G613" s="94"/>
      <c r="H613" s="94"/>
      <c r="I613" s="94"/>
      <c r="J613" s="94"/>
      <c r="K613" s="94"/>
      <c r="L613" s="94"/>
      <c r="M613" s="94"/>
      <c r="N613" s="94"/>
      <c r="O613" s="94"/>
      <c r="P613" s="94"/>
      <c r="Q613" s="94"/>
      <c r="R613" s="94"/>
      <c r="S613" s="94"/>
      <c r="T613" s="94"/>
      <c r="U613" s="94"/>
    </row>
    <row r="614" spans="1:21">
      <c r="A614" s="94"/>
      <c r="B614" s="94"/>
      <c r="C614" s="94"/>
      <c r="D614" s="94"/>
      <c r="E614" s="94"/>
      <c r="F614" s="94"/>
      <c r="G614" s="94"/>
      <c r="H614" s="94"/>
      <c r="I614" s="94"/>
      <c r="J614" s="94"/>
      <c r="K614" s="94"/>
      <c r="L614" s="94"/>
      <c r="M614" s="94"/>
      <c r="N614" s="94"/>
      <c r="O614" s="94"/>
      <c r="P614" s="94"/>
      <c r="Q614" s="94"/>
      <c r="R614" s="94"/>
      <c r="S614" s="94"/>
      <c r="T614" s="94"/>
      <c r="U614" s="94"/>
    </row>
    <row r="615" spans="1:21">
      <c r="A615" s="94"/>
      <c r="B615" s="94"/>
      <c r="C615" s="94"/>
      <c r="D615" s="94"/>
      <c r="E615" s="94"/>
      <c r="F615" s="94"/>
      <c r="G615" s="94"/>
      <c r="H615" s="94"/>
      <c r="I615" s="94"/>
      <c r="J615" s="94"/>
      <c r="K615" s="94"/>
      <c r="L615" s="94"/>
      <c r="M615" s="94"/>
      <c r="N615" s="94"/>
      <c r="O615" s="94"/>
      <c r="P615" s="94"/>
      <c r="Q615" s="94"/>
      <c r="R615" s="94"/>
      <c r="S615" s="94"/>
      <c r="T615" s="94"/>
      <c r="U615" s="94"/>
    </row>
    <row r="616" spans="1:21">
      <c r="A616" s="94"/>
      <c r="B616" s="94"/>
      <c r="C616" s="94"/>
      <c r="D616" s="94"/>
      <c r="E616" s="94"/>
      <c r="F616" s="94"/>
      <c r="G616" s="94"/>
      <c r="H616" s="94"/>
      <c r="I616" s="94"/>
      <c r="J616" s="94"/>
      <c r="K616" s="94"/>
      <c r="L616" s="94"/>
      <c r="M616" s="94"/>
      <c r="N616" s="94"/>
      <c r="O616" s="94"/>
      <c r="P616" s="94"/>
      <c r="Q616" s="94"/>
      <c r="R616" s="94"/>
      <c r="S616" s="94"/>
      <c r="T616" s="94"/>
      <c r="U616" s="94"/>
    </row>
    <row r="617" spans="1:21">
      <c r="A617" s="94"/>
      <c r="B617" s="94"/>
      <c r="C617" s="94"/>
      <c r="D617" s="94"/>
      <c r="E617" s="94"/>
      <c r="F617" s="94"/>
      <c r="G617" s="94"/>
      <c r="H617" s="94"/>
      <c r="I617" s="94"/>
      <c r="J617" s="94"/>
      <c r="K617" s="94"/>
      <c r="L617" s="94"/>
      <c r="M617" s="94"/>
      <c r="N617" s="94"/>
      <c r="O617" s="94"/>
      <c r="P617" s="94"/>
      <c r="Q617" s="94"/>
      <c r="R617" s="94"/>
      <c r="S617" s="94"/>
      <c r="T617" s="94"/>
      <c r="U617" s="94"/>
    </row>
    <row r="618" spans="1:21">
      <c r="A618" s="94"/>
      <c r="B618" s="94"/>
      <c r="C618" s="94"/>
      <c r="D618" s="94"/>
      <c r="E618" s="94"/>
      <c r="F618" s="94"/>
      <c r="G618" s="94"/>
      <c r="H618" s="94"/>
      <c r="I618" s="94"/>
      <c r="J618" s="94"/>
      <c r="K618" s="94"/>
      <c r="L618" s="94"/>
      <c r="M618" s="94"/>
      <c r="N618" s="94"/>
      <c r="O618" s="94"/>
      <c r="P618" s="94"/>
      <c r="Q618" s="94"/>
      <c r="R618" s="94"/>
      <c r="S618" s="94"/>
      <c r="T618" s="94"/>
      <c r="U618" s="94"/>
    </row>
    <row r="619" spans="1:21">
      <c r="A619" s="94"/>
      <c r="B619" s="94"/>
      <c r="C619" s="94"/>
      <c r="D619" s="94"/>
      <c r="E619" s="94"/>
      <c r="F619" s="94"/>
      <c r="G619" s="94"/>
      <c r="H619" s="94"/>
      <c r="I619" s="94"/>
      <c r="J619" s="94"/>
      <c r="K619" s="94"/>
      <c r="L619" s="94"/>
      <c r="M619" s="94"/>
      <c r="N619" s="94"/>
      <c r="O619" s="94"/>
      <c r="P619" s="94"/>
      <c r="Q619" s="94"/>
      <c r="R619" s="94"/>
      <c r="S619" s="94"/>
      <c r="T619" s="94"/>
      <c r="U619" s="94"/>
    </row>
    <row r="620" spans="1:21">
      <c r="A620" s="94"/>
      <c r="B620" s="94"/>
      <c r="C620" s="94"/>
      <c r="D620" s="94"/>
      <c r="E620" s="94"/>
      <c r="F620" s="94"/>
      <c r="G620" s="94"/>
      <c r="H620" s="94"/>
      <c r="I620" s="94"/>
      <c r="J620" s="94"/>
      <c r="K620" s="94"/>
      <c r="L620" s="94"/>
      <c r="M620" s="94"/>
      <c r="N620" s="94"/>
      <c r="O620" s="94"/>
      <c r="P620" s="94"/>
      <c r="Q620" s="94"/>
      <c r="R620" s="94"/>
      <c r="S620" s="94"/>
      <c r="T620" s="94"/>
      <c r="U620" s="94"/>
    </row>
    <row r="621" spans="1:21">
      <c r="A621" s="94"/>
      <c r="B621" s="94"/>
      <c r="C621" s="94"/>
      <c r="D621" s="94"/>
      <c r="E621" s="94"/>
      <c r="F621" s="94"/>
      <c r="G621" s="94"/>
      <c r="H621" s="94"/>
      <c r="I621" s="94"/>
      <c r="J621" s="94"/>
      <c r="K621" s="94"/>
      <c r="L621" s="94"/>
      <c r="M621" s="94"/>
      <c r="N621" s="94"/>
      <c r="O621" s="94"/>
      <c r="P621" s="94"/>
      <c r="Q621" s="94"/>
      <c r="R621" s="94"/>
      <c r="S621" s="94"/>
      <c r="T621" s="94"/>
      <c r="U621" s="94"/>
    </row>
    <row r="622" spans="1:21">
      <c r="A622" s="94"/>
      <c r="B622" s="94"/>
      <c r="C622" s="94"/>
      <c r="D622" s="94"/>
      <c r="E622" s="94"/>
      <c r="F622" s="94"/>
      <c r="G622" s="94"/>
      <c r="H622" s="94"/>
      <c r="I622" s="94"/>
      <c r="J622" s="94"/>
      <c r="K622" s="94"/>
      <c r="L622" s="94"/>
      <c r="M622" s="94"/>
      <c r="N622" s="94"/>
      <c r="O622" s="94"/>
      <c r="P622" s="94"/>
      <c r="Q622" s="94"/>
      <c r="R622" s="94"/>
      <c r="S622" s="94"/>
      <c r="T622" s="94"/>
      <c r="U622" s="94"/>
    </row>
    <row r="623" spans="1:21">
      <c r="A623" s="94"/>
      <c r="B623" s="94"/>
      <c r="C623" s="94"/>
      <c r="D623" s="94"/>
      <c r="E623" s="94"/>
      <c r="F623" s="94"/>
      <c r="G623" s="94"/>
      <c r="H623" s="94"/>
      <c r="I623" s="94"/>
      <c r="J623" s="94"/>
      <c r="K623" s="94"/>
      <c r="L623" s="94"/>
      <c r="M623" s="94"/>
      <c r="N623" s="94"/>
      <c r="O623" s="94"/>
      <c r="P623" s="94"/>
      <c r="Q623" s="94"/>
      <c r="R623" s="94"/>
      <c r="S623" s="94"/>
      <c r="T623" s="94"/>
      <c r="U623" s="94"/>
    </row>
    <row r="624" spans="1:21">
      <c r="A624" s="94"/>
      <c r="B624" s="94"/>
      <c r="C624" s="94"/>
      <c r="D624" s="94"/>
      <c r="E624" s="94"/>
      <c r="F624" s="94"/>
      <c r="G624" s="94"/>
      <c r="H624" s="94"/>
      <c r="I624" s="94"/>
      <c r="J624" s="94"/>
      <c r="K624" s="94"/>
      <c r="L624" s="94"/>
      <c r="M624" s="94"/>
      <c r="N624" s="94"/>
      <c r="O624" s="94"/>
      <c r="P624" s="94"/>
      <c r="Q624" s="94"/>
      <c r="R624" s="94"/>
      <c r="S624" s="94"/>
      <c r="T624" s="94"/>
      <c r="U624" s="94"/>
    </row>
    <row r="625" spans="1:21">
      <c r="A625" s="94"/>
      <c r="B625" s="94"/>
      <c r="C625" s="94"/>
      <c r="D625" s="94"/>
      <c r="E625" s="94"/>
      <c r="F625" s="94"/>
      <c r="G625" s="94"/>
      <c r="H625" s="94"/>
      <c r="I625" s="94"/>
      <c r="J625" s="94"/>
      <c r="K625" s="94"/>
      <c r="L625" s="94"/>
      <c r="M625" s="94"/>
      <c r="N625" s="94"/>
      <c r="O625" s="94"/>
      <c r="P625" s="94"/>
      <c r="Q625" s="94"/>
      <c r="R625" s="94"/>
      <c r="S625" s="94"/>
      <c r="T625" s="94"/>
      <c r="U625" s="94"/>
    </row>
    <row r="626" spans="1:21">
      <c r="A626" s="94"/>
      <c r="B626" s="94"/>
      <c r="C626" s="94"/>
      <c r="D626" s="94"/>
      <c r="E626" s="94"/>
      <c r="F626" s="94"/>
      <c r="G626" s="94"/>
      <c r="H626" s="94"/>
      <c r="I626" s="94"/>
      <c r="J626" s="94"/>
      <c r="K626" s="94"/>
      <c r="L626" s="94"/>
      <c r="M626" s="94"/>
      <c r="N626" s="94"/>
      <c r="O626" s="94"/>
      <c r="P626" s="94"/>
      <c r="Q626" s="94"/>
      <c r="R626" s="94"/>
      <c r="S626" s="94"/>
      <c r="T626" s="94"/>
      <c r="U626" s="94"/>
    </row>
    <row r="627" spans="1:21">
      <c r="A627" s="94"/>
      <c r="B627" s="94"/>
      <c r="C627" s="94"/>
      <c r="D627" s="94"/>
      <c r="E627" s="94"/>
      <c r="F627" s="94"/>
      <c r="G627" s="94"/>
      <c r="H627" s="94"/>
      <c r="I627" s="94"/>
      <c r="J627" s="94"/>
      <c r="K627" s="94"/>
      <c r="L627" s="94"/>
      <c r="M627" s="94"/>
      <c r="N627" s="94"/>
      <c r="O627" s="94"/>
      <c r="P627" s="94"/>
      <c r="Q627" s="94"/>
      <c r="R627" s="94"/>
      <c r="S627" s="94"/>
      <c r="T627" s="94"/>
      <c r="U627" s="94"/>
    </row>
    <row r="628" spans="1:21">
      <c r="A628" s="94"/>
      <c r="B628" s="94"/>
      <c r="C628" s="94"/>
      <c r="D628" s="94"/>
      <c r="E628" s="94"/>
      <c r="F628" s="94"/>
      <c r="G628" s="94"/>
      <c r="H628" s="94"/>
      <c r="I628" s="94"/>
      <c r="J628" s="94"/>
      <c r="K628" s="94"/>
      <c r="L628" s="94"/>
      <c r="M628" s="94"/>
      <c r="N628" s="94"/>
      <c r="O628" s="94"/>
      <c r="P628" s="94"/>
      <c r="Q628" s="94"/>
      <c r="R628" s="94"/>
      <c r="S628" s="94"/>
      <c r="T628" s="94"/>
      <c r="U628" s="94"/>
    </row>
    <row r="629" spans="1:21">
      <c r="A629" s="94"/>
      <c r="B629" s="94"/>
      <c r="C629" s="94"/>
      <c r="D629" s="94"/>
      <c r="E629" s="94"/>
      <c r="F629" s="94"/>
      <c r="G629" s="94"/>
      <c r="H629" s="94"/>
      <c r="I629" s="94"/>
      <c r="J629" s="94"/>
      <c r="K629" s="94"/>
      <c r="L629" s="94"/>
      <c r="M629" s="94"/>
      <c r="N629" s="94"/>
      <c r="O629" s="94"/>
      <c r="P629" s="94"/>
      <c r="Q629" s="94"/>
      <c r="R629" s="94"/>
      <c r="S629" s="94"/>
      <c r="T629" s="94"/>
      <c r="U629" s="94"/>
    </row>
    <row r="630" spans="1:21">
      <c r="A630" s="94"/>
      <c r="B630" s="94"/>
      <c r="C630" s="94"/>
      <c r="D630" s="94"/>
      <c r="E630" s="94"/>
      <c r="F630" s="94"/>
      <c r="G630" s="94"/>
      <c r="H630" s="94"/>
      <c r="I630" s="94"/>
      <c r="J630" s="94"/>
      <c r="K630" s="94"/>
      <c r="L630" s="94"/>
      <c r="M630" s="94"/>
      <c r="N630" s="94"/>
      <c r="O630" s="94"/>
      <c r="P630" s="94"/>
      <c r="Q630" s="94"/>
      <c r="R630" s="94"/>
      <c r="S630" s="94"/>
      <c r="T630" s="94"/>
      <c r="U630" s="94"/>
    </row>
    <row r="631" spans="1:21">
      <c r="A631" s="94"/>
      <c r="B631" s="94"/>
      <c r="C631" s="94"/>
      <c r="D631" s="94"/>
      <c r="E631" s="94"/>
      <c r="F631" s="94"/>
      <c r="G631" s="94"/>
      <c r="H631" s="94"/>
      <c r="I631" s="94"/>
      <c r="J631" s="94"/>
      <c r="K631" s="94"/>
      <c r="L631" s="94"/>
      <c r="M631" s="94"/>
      <c r="N631" s="94"/>
      <c r="O631" s="94"/>
      <c r="P631" s="94"/>
      <c r="Q631" s="94"/>
      <c r="R631" s="94"/>
      <c r="S631" s="94"/>
      <c r="T631" s="94"/>
      <c r="U631" s="94"/>
    </row>
    <row r="632" spans="1:21">
      <c r="A632" s="94"/>
      <c r="B632" s="94"/>
      <c r="C632" s="94"/>
      <c r="D632" s="94"/>
      <c r="E632" s="94"/>
      <c r="F632" s="94"/>
      <c r="G632" s="94"/>
      <c r="H632" s="94"/>
      <c r="I632" s="94"/>
      <c r="J632" s="94"/>
      <c r="K632" s="94"/>
      <c r="L632" s="94"/>
      <c r="M632" s="94"/>
      <c r="N632" s="94"/>
      <c r="O632" s="94"/>
      <c r="P632" s="94"/>
      <c r="Q632" s="94"/>
      <c r="R632" s="94"/>
      <c r="S632" s="94"/>
      <c r="T632" s="94"/>
      <c r="U632" s="94"/>
    </row>
    <row r="633" spans="1:21">
      <c r="A633" s="94"/>
      <c r="B633" s="94"/>
      <c r="C633" s="94"/>
      <c r="D633" s="94"/>
      <c r="E633" s="94"/>
      <c r="F633" s="94"/>
      <c r="G633" s="94"/>
      <c r="H633" s="94"/>
      <c r="I633" s="94"/>
      <c r="J633" s="94"/>
      <c r="K633" s="94"/>
      <c r="L633" s="94"/>
      <c r="M633" s="94"/>
      <c r="N633" s="94"/>
      <c r="O633" s="94"/>
      <c r="P633" s="94"/>
      <c r="Q633" s="94"/>
      <c r="R633" s="94"/>
      <c r="S633" s="94"/>
      <c r="T633" s="94"/>
      <c r="U633" s="94"/>
    </row>
    <row r="634" spans="1:21">
      <c r="A634" s="94"/>
      <c r="B634" s="94"/>
      <c r="C634" s="94"/>
      <c r="D634" s="94"/>
      <c r="E634" s="94"/>
      <c r="F634" s="94"/>
      <c r="G634" s="94"/>
      <c r="H634" s="94"/>
      <c r="I634" s="94"/>
      <c r="J634" s="94"/>
      <c r="K634" s="94"/>
      <c r="L634" s="94"/>
      <c r="M634" s="94"/>
      <c r="N634" s="94"/>
      <c r="O634" s="94"/>
      <c r="P634" s="94"/>
      <c r="Q634" s="94"/>
      <c r="R634" s="94"/>
      <c r="S634" s="94"/>
      <c r="T634" s="94"/>
      <c r="U634" s="94"/>
    </row>
    <row r="635" spans="1:21">
      <c r="A635" s="94"/>
      <c r="B635" s="94"/>
      <c r="C635" s="94"/>
      <c r="D635" s="94"/>
      <c r="E635" s="94"/>
      <c r="F635" s="94"/>
      <c r="G635" s="94"/>
      <c r="H635" s="94"/>
      <c r="I635" s="94"/>
      <c r="J635" s="94"/>
      <c r="K635" s="94"/>
      <c r="L635" s="94"/>
      <c r="M635" s="94"/>
      <c r="N635" s="94"/>
      <c r="O635" s="94"/>
      <c r="P635" s="94"/>
      <c r="Q635" s="94"/>
      <c r="R635" s="94"/>
      <c r="S635" s="94"/>
      <c r="T635" s="94"/>
      <c r="U635" s="94"/>
    </row>
    <row r="636" spans="1:21">
      <c r="A636" s="94"/>
      <c r="B636" s="94"/>
      <c r="C636" s="94"/>
      <c r="D636" s="94"/>
      <c r="E636" s="94"/>
      <c r="F636" s="94"/>
      <c r="G636" s="94"/>
      <c r="H636" s="94"/>
      <c r="I636" s="94"/>
      <c r="J636" s="94"/>
      <c r="K636" s="94"/>
      <c r="L636" s="94"/>
      <c r="M636" s="94"/>
      <c r="N636" s="94"/>
      <c r="O636" s="94"/>
      <c r="P636" s="94"/>
      <c r="Q636" s="94"/>
      <c r="R636" s="94"/>
      <c r="S636" s="94"/>
      <c r="T636" s="94"/>
      <c r="U636" s="94"/>
    </row>
    <row r="637" spans="1:21">
      <c r="A637" s="94"/>
      <c r="B637" s="94"/>
      <c r="C637" s="94"/>
      <c r="D637" s="94"/>
      <c r="E637" s="94"/>
      <c r="F637" s="94"/>
      <c r="G637" s="94"/>
      <c r="H637" s="94"/>
      <c r="I637" s="94"/>
      <c r="J637" s="94"/>
      <c r="K637" s="94"/>
      <c r="L637" s="94"/>
      <c r="M637" s="94"/>
      <c r="N637" s="94"/>
      <c r="O637" s="94"/>
      <c r="P637" s="94"/>
      <c r="Q637" s="94"/>
      <c r="R637" s="94"/>
      <c r="S637" s="94"/>
      <c r="T637" s="94"/>
      <c r="U637" s="94"/>
    </row>
    <row r="638" spans="1:21">
      <c r="A638" s="94"/>
      <c r="B638" s="94"/>
      <c r="C638" s="94"/>
      <c r="D638" s="94"/>
      <c r="E638" s="94"/>
      <c r="F638" s="94"/>
      <c r="G638" s="94"/>
      <c r="H638" s="94"/>
      <c r="I638" s="94"/>
      <c r="J638" s="94"/>
      <c r="K638" s="94"/>
      <c r="L638" s="94"/>
      <c r="M638" s="94"/>
      <c r="N638" s="94"/>
      <c r="O638" s="94"/>
      <c r="P638" s="94"/>
      <c r="Q638" s="94"/>
      <c r="R638" s="94"/>
      <c r="S638" s="94"/>
      <c r="T638" s="94"/>
      <c r="U638" s="94"/>
    </row>
    <row r="639" spans="1:21">
      <c r="A639" s="94"/>
      <c r="B639" s="94"/>
      <c r="C639" s="94"/>
      <c r="D639" s="94"/>
      <c r="E639" s="94"/>
      <c r="F639" s="94"/>
      <c r="G639" s="94"/>
      <c r="H639" s="94"/>
      <c r="I639" s="94"/>
      <c r="J639" s="94"/>
      <c r="K639" s="94"/>
      <c r="L639" s="94"/>
      <c r="M639" s="94"/>
      <c r="N639" s="94"/>
      <c r="O639" s="94"/>
      <c r="P639" s="94"/>
      <c r="Q639" s="94"/>
      <c r="R639" s="94"/>
      <c r="S639" s="94"/>
      <c r="T639" s="94"/>
      <c r="U639" s="94"/>
    </row>
    <row r="640" spans="1:21">
      <c r="A640" s="94"/>
      <c r="B640" s="94"/>
      <c r="C640" s="94"/>
      <c r="D640" s="94"/>
      <c r="E640" s="94"/>
      <c r="F640" s="94"/>
      <c r="G640" s="94"/>
      <c r="H640" s="94"/>
      <c r="I640" s="94"/>
      <c r="J640" s="94"/>
      <c r="K640" s="94"/>
      <c r="L640" s="94"/>
      <c r="M640" s="94"/>
      <c r="N640" s="94"/>
      <c r="O640" s="94"/>
      <c r="P640" s="94"/>
      <c r="Q640" s="94"/>
      <c r="R640" s="94"/>
      <c r="S640" s="94"/>
      <c r="T640" s="94"/>
      <c r="U640" s="94"/>
    </row>
    <row r="641" spans="1:21">
      <c r="A641" s="94"/>
      <c r="B641" s="94"/>
      <c r="C641" s="94"/>
      <c r="D641" s="94"/>
      <c r="E641" s="94"/>
      <c r="F641" s="94"/>
      <c r="G641" s="94"/>
      <c r="H641" s="94"/>
      <c r="I641" s="94"/>
      <c r="J641" s="94"/>
      <c r="K641" s="94"/>
      <c r="L641" s="94"/>
      <c r="M641" s="94"/>
      <c r="N641" s="94"/>
      <c r="O641" s="94"/>
      <c r="P641" s="94"/>
      <c r="Q641" s="94"/>
      <c r="R641" s="94"/>
      <c r="S641" s="94"/>
      <c r="T641" s="94"/>
      <c r="U641" s="94"/>
    </row>
    <row r="642" spans="1:21">
      <c r="A642" s="94"/>
      <c r="B642" s="94"/>
      <c r="C642" s="94"/>
      <c r="D642" s="94"/>
      <c r="E642" s="94"/>
      <c r="F642" s="94"/>
      <c r="G642" s="94"/>
      <c r="H642" s="94"/>
      <c r="I642" s="94"/>
      <c r="J642" s="94"/>
      <c r="K642" s="94"/>
      <c r="L642" s="94"/>
      <c r="M642" s="94"/>
      <c r="N642" s="94"/>
      <c r="O642" s="94"/>
      <c r="P642" s="94"/>
      <c r="Q642" s="94"/>
      <c r="R642" s="94"/>
      <c r="S642" s="94"/>
      <c r="T642" s="94"/>
      <c r="U642" s="94"/>
    </row>
    <row r="643" spans="1:21">
      <c r="A643" s="94"/>
      <c r="B643" s="94"/>
      <c r="C643" s="94"/>
      <c r="D643" s="94"/>
      <c r="E643" s="94"/>
      <c r="F643" s="94"/>
      <c r="G643" s="94"/>
      <c r="H643" s="94"/>
      <c r="I643" s="94"/>
      <c r="J643" s="94"/>
      <c r="K643" s="94"/>
      <c r="L643" s="94"/>
      <c r="M643" s="94"/>
      <c r="N643" s="94"/>
      <c r="O643" s="94"/>
      <c r="P643" s="94"/>
      <c r="Q643" s="94"/>
      <c r="R643" s="94"/>
      <c r="S643" s="94"/>
      <c r="T643" s="94"/>
      <c r="U643" s="94"/>
    </row>
    <row r="644" spans="1:21">
      <c r="A644" s="94"/>
      <c r="B644" s="94"/>
      <c r="C644" s="94"/>
      <c r="D644" s="94"/>
      <c r="E644" s="94"/>
      <c r="F644" s="94"/>
      <c r="G644" s="94"/>
      <c r="H644" s="94"/>
      <c r="I644" s="94"/>
      <c r="J644" s="94"/>
      <c r="K644" s="94"/>
      <c r="L644" s="94"/>
      <c r="M644" s="94"/>
      <c r="N644" s="94"/>
      <c r="O644" s="94"/>
      <c r="P644" s="94"/>
      <c r="Q644" s="94"/>
      <c r="R644" s="94"/>
      <c r="S644" s="94"/>
      <c r="T644" s="94"/>
      <c r="U644" s="94"/>
    </row>
    <row r="645" spans="1:21">
      <c r="A645" s="94"/>
      <c r="B645" s="94"/>
      <c r="C645" s="94"/>
      <c r="D645" s="94"/>
      <c r="E645" s="94"/>
      <c r="F645" s="94"/>
      <c r="G645" s="94"/>
      <c r="H645" s="94"/>
      <c r="I645" s="94"/>
      <c r="J645" s="94"/>
      <c r="K645" s="94"/>
      <c r="L645" s="94"/>
      <c r="M645" s="94"/>
      <c r="N645" s="94"/>
      <c r="O645" s="94"/>
      <c r="P645" s="94"/>
      <c r="Q645" s="94"/>
      <c r="R645" s="94"/>
      <c r="S645" s="94"/>
      <c r="T645" s="94"/>
      <c r="U645" s="94"/>
    </row>
    <row r="646" spans="1:21">
      <c r="A646" s="94"/>
      <c r="B646" s="94"/>
      <c r="C646" s="94"/>
      <c r="D646" s="94"/>
      <c r="E646" s="94"/>
      <c r="F646" s="94"/>
      <c r="G646" s="94"/>
      <c r="H646" s="94"/>
      <c r="I646" s="94"/>
      <c r="J646" s="94"/>
      <c r="K646" s="94"/>
      <c r="L646" s="94"/>
      <c r="M646" s="94"/>
      <c r="N646" s="94"/>
      <c r="O646" s="94"/>
      <c r="P646" s="94"/>
      <c r="Q646" s="94"/>
      <c r="R646" s="94"/>
      <c r="S646" s="94"/>
      <c r="T646" s="94"/>
      <c r="U646" s="94"/>
    </row>
    <row r="647" spans="1:21">
      <c r="A647" s="94"/>
      <c r="B647" s="94"/>
      <c r="C647" s="94"/>
      <c r="D647" s="94"/>
      <c r="E647" s="94"/>
      <c r="F647" s="94"/>
      <c r="G647" s="94"/>
      <c r="H647" s="94"/>
      <c r="I647" s="94"/>
      <c r="J647" s="94"/>
      <c r="K647" s="94"/>
      <c r="L647" s="94"/>
      <c r="M647" s="94"/>
      <c r="N647" s="94"/>
      <c r="O647" s="94"/>
      <c r="P647" s="94"/>
      <c r="Q647" s="94"/>
      <c r="R647" s="94"/>
      <c r="S647" s="94"/>
      <c r="T647" s="94"/>
      <c r="U647" s="94"/>
    </row>
    <row r="648" spans="1:21">
      <c r="A648" s="94"/>
      <c r="B648" s="94"/>
      <c r="C648" s="94"/>
      <c r="D648" s="94"/>
      <c r="E648" s="94"/>
      <c r="F648" s="94"/>
      <c r="G648" s="94"/>
      <c r="H648" s="94"/>
      <c r="I648" s="94"/>
      <c r="J648" s="94"/>
      <c r="K648" s="94"/>
      <c r="L648" s="94"/>
      <c r="M648" s="94"/>
      <c r="N648" s="94"/>
      <c r="O648" s="94"/>
      <c r="P648" s="94"/>
      <c r="Q648" s="94"/>
      <c r="R648" s="94"/>
      <c r="S648" s="94"/>
      <c r="T648" s="94"/>
      <c r="U648" s="94"/>
    </row>
    <row r="649" spans="1:21">
      <c r="A649" s="94"/>
      <c r="B649" s="94"/>
      <c r="C649" s="94"/>
      <c r="D649" s="94"/>
      <c r="E649" s="94"/>
      <c r="F649" s="94"/>
      <c r="G649" s="94"/>
      <c r="H649" s="94"/>
      <c r="I649" s="94"/>
      <c r="J649" s="94"/>
      <c r="K649" s="94"/>
      <c r="L649" s="94"/>
      <c r="M649" s="94"/>
      <c r="N649" s="94"/>
      <c r="O649" s="94"/>
      <c r="P649" s="94"/>
      <c r="Q649" s="94"/>
      <c r="R649" s="94"/>
      <c r="S649" s="94"/>
      <c r="T649" s="94"/>
      <c r="U649" s="94"/>
    </row>
    <row r="650" spans="1:21">
      <c r="A650" s="94"/>
      <c r="B650" s="94"/>
      <c r="C650" s="94"/>
      <c r="D650" s="94"/>
      <c r="E650" s="94"/>
      <c r="F650" s="94"/>
      <c r="G650" s="94"/>
      <c r="H650" s="94"/>
      <c r="I650" s="94"/>
      <c r="J650" s="94"/>
      <c r="K650" s="94"/>
      <c r="L650" s="94"/>
      <c r="M650" s="94"/>
      <c r="N650" s="94"/>
      <c r="O650" s="94"/>
      <c r="P650" s="94"/>
      <c r="Q650" s="94"/>
      <c r="R650" s="94"/>
      <c r="S650" s="94"/>
      <c r="T650" s="94"/>
      <c r="U650" s="94"/>
    </row>
    <row r="651" spans="1:21">
      <c r="A651" s="94"/>
      <c r="B651" s="94"/>
      <c r="C651" s="94"/>
      <c r="D651" s="94"/>
      <c r="E651" s="94"/>
      <c r="F651" s="94"/>
      <c r="G651" s="94"/>
      <c r="H651" s="94"/>
      <c r="I651" s="94"/>
      <c r="J651" s="94"/>
      <c r="K651" s="94"/>
      <c r="L651" s="94"/>
      <c r="M651" s="94"/>
      <c r="N651" s="94"/>
      <c r="O651" s="94"/>
      <c r="P651" s="94"/>
      <c r="Q651" s="94"/>
      <c r="R651" s="94"/>
      <c r="S651" s="94"/>
      <c r="T651" s="94"/>
      <c r="U651" s="94"/>
    </row>
    <row r="652" spans="1:21">
      <c r="A652" s="94"/>
      <c r="B652" s="94"/>
      <c r="C652" s="94"/>
      <c r="D652" s="94"/>
      <c r="E652" s="94"/>
      <c r="F652" s="94"/>
      <c r="G652" s="94"/>
      <c r="H652" s="94"/>
      <c r="I652" s="94"/>
      <c r="J652" s="94"/>
      <c r="K652" s="94"/>
      <c r="L652" s="94"/>
      <c r="M652" s="94"/>
      <c r="N652" s="94"/>
      <c r="O652" s="94"/>
      <c r="P652" s="94"/>
      <c r="Q652" s="94"/>
      <c r="R652" s="94"/>
      <c r="S652" s="94"/>
      <c r="T652" s="94"/>
      <c r="U652" s="94"/>
    </row>
    <row r="653" spans="1:21">
      <c r="A653" s="94"/>
      <c r="B653" s="94"/>
      <c r="C653" s="94"/>
      <c r="D653" s="94"/>
      <c r="E653" s="94"/>
      <c r="F653" s="94"/>
      <c r="G653" s="94"/>
      <c r="H653" s="94"/>
      <c r="I653" s="94"/>
      <c r="J653" s="94"/>
      <c r="K653" s="94"/>
      <c r="L653" s="94"/>
      <c r="M653" s="94"/>
      <c r="N653" s="94"/>
      <c r="O653" s="94"/>
      <c r="P653" s="94"/>
      <c r="Q653" s="94"/>
      <c r="R653" s="94"/>
      <c r="S653" s="94"/>
      <c r="T653" s="94"/>
      <c r="U653" s="94"/>
    </row>
    <row r="654" spans="1:21">
      <c r="A654" s="94"/>
      <c r="B654" s="94"/>
      <c r="C654" s="94"/>
      <c r="D654" s="94"/>
      <c r="E654" s="94"/>
      <c r="F654" s="94"/>
      <c r="G654" s="94"/>
      <c r="H654" s="94"/>
      <c r="I654" s="94"/>
      <c r="J654" s="94"/>
      <c r="K654" s="94"/>
      <c r="L654" s="94"/>
      <c r="M654" s="94"/>
      <c r="N654" s="94"/>
      <c r="O654" s="94"/>
      <c r="P654" s="94"/>
      <c r="Q654" s="94"/>
      <c r="R654" s="94"/>
      <c r="S654" s="94"/>
      <c r="T654" s="94"/>
      <c r="U654" s="94"/>
    </row>
    <row r="655" spans="1:21">
      <c r="A655" s="94"/>
      <c r="B655" s="94"/>
      <c r="C655" s="94"/>
      <c r="D655" s="94"/>
      <c r="E655" s="94"/>
      <c r="F655" s="94"/>
      <c r="G655" s="94"/>
      <c r="H655" s="94"/>
      <c r="I655" s="94"/>
      <c r="J655" s="94"/>
      <c r="K655" s="94"/>
      <c r="L655" s="94"/>
      <c r="M655" s="94"/>
      <c r="N655" s="94"/>
      <c r="O655" s="94"/>
      <c r="P655" s="94"/>
      <c r="Q655" s="94"/>
      <c r="R655" s="94"/>
      <c r="S655" s="94"/>
      <c r="T655" s="94"/>
      <c r="U655" s="94"/>
    </row>
    <row r="656" spans="1:21">
      <c r="A656" s="94"/>
      <c r="B656" s="94"/>
      <c r="C656" s="94"/>
      <c r="D656" s="94"/>
      <c r="E656" s="94"/>
      <c r="F656" s="94"/>
      <c r="G656" s="94"/>
      <c r="H656" s="94"/>
      <c r="I656" s="94"/>
      <c r="J656" s="94"/>
      <c r="K656" s="94"/>
      <c r="L656" s="94"/>
      <c r="M656" s="94"/>
      <c r="N656" s="94"/>
      <c r="O656" s="94"/>
      <c r="P656" s="94"/>
      <c r="Q656" s="94"/>
      <c r="R656" s="94"/>
      <c r="S656" s="94"/>
      <c r="T656" s="94"/>
      <c r="U656" s="94"/>
    </row>
    <row r="657" spans="1:21">
      <c r="A657" s="94"/>
      <c r="B657" s="94"/>
      <c r="C657" s="94"/>
      <c r="D657" s="94"/>
      <c r="E657" s="94"/>
      <c r="F657" s="94"/>
      <c r="G657" s="94"/>
      <c r="H657" s="94"/>
      <c r="I657" s="94"/>
      <c r="J657" s="94"/>
      <c r="K657" s="94"/>
      <c r="L657" s="94"/>
      <c r="M657" s="94"/>
      <c r="N657" s="94"/>
      <c r="O657" s="94"/>
      <c r="P657" s="94"/>
      <c r="Q657" s="94"/>
      <c r="R657" s="94"/>
      <c r="S657" s="94"/>
      <c r="T657" s="94"/>
      <c r="U657" s="94"/>
    </row>
    <row r="658" spans="1:21">
      <c r="A658" s="94"/>
      <c r="B658" s="94"/>
      <c r="C658" s="94"/>
      <c r="D658" s="94"/>
      <c r="E658" s="94"/>
      <c r="F658" s="94"/>
      <c r="G658" s="94"/>
      <c r="H658" s="94"/>
      <c r="I658" s="94"/>
      <c r="J658" s="94"/>
      <c r="K658" s="94"/>
      <c r="L658" s="94"/>
      <c r="M658" s="94"/>
      <c r="N658" s="94"/>
      <c r="O658" s="94"/>
      <c r="P658" s="94"/>
      <c r="Q658" s="94"/>
      <c r="R658" s="94"/>
      <c r="S658" s="94"/>
      <c r="T658" s="94"/>
      <c r="U658" s="94"/>
    </row>
    <row r="659" spans="1:21">
      <c r="A659" s="94"/>
      <c r="B659" s="94"/>
      <c r="C659" s="94"/>
      <c r="D659" s="94"/>
      <c r="E659" s="94"/>
      <c r="F659" s="94"/>
      <c r="G659" s="94"/>
      <c r="H659" s="94"/>
      <c r="I659" s="94"/>
      <c r="J659" s="94"/>
      <c r="K659" s="94"/>
      <c r="L659" s="94"/>
      <c r="M659" s="94"/>
      <c r="N659" s="94"/>
      <c r="O659" s="94"/>
      <c r="P659" s="94"/>
      <c r="Q659" s="94"/>
      <c r="R659" s="94"/>
      <c r="S659" s="94"/>
      <c r="T659" s="94"/>
      <c r="U659" s="94"/>
    </row>
    <row r="660" spans="1:21">
      <c r="A660" s="94"/>
      <c r="B660" s="94"/>
      <c r="C660" s="94"/>
      <c r="D660" s="94"/>
      <c r="E660" s="94"/>
      <c r="F660" s="94"/>
      <c r="G660" s="94"/>
      <c r="H660" s="94"/>
      <c r="I660" s="94"/>
      <c r="J660" s="94"/>
      <c r="K660" s="94"/>
      <c r="L660" s="94"/>
      <c r="M660" s="94"/>
      <c r="N660" s="94"/>
      <c r="O660" s="94"/>
      <c r="P660" s="94"/>
      <c r="Q660" s="94"/>
      <c r="R660" s="94"/>
      <c r="S660" s="94"/>
      <c r="T660" s="94"/>
      <c r="U660" s="94"/>
    </row>
    <row r="661" spans="1:21">
      <c r="A661" s="94"/>
      <c r="B661" s="94"/>
      <c r="C661" s="94"/>
      <c r="D661" s="94"/>
      <c r="E661" s="94"/>
      <c r="F661" s="94"/>
      <c r="G661" s="94"/>
      <c r="H661" s="94"/>
      <c r="I661" s="94"/>
      <c r="J661" s="94"/>
      <c r="K661" s="94"/>
      <c r="L661" s="94"/>
      <c r="M661" s="94"/>
      <c r="N661" s="94"/>
      <c r="O661" s="94"/>
      <c r="P661" s="94"/>
      <c r="Q661" s="94"/>
      <c r="R661" s="94"/>
      <c r="S661" s="94"/>
      <c r="T661" s="94"/>
      <c r="U661" s="94"/>
    </row>
    <row r="662" spans="1:21">
      <c r="A662" s="94"/>
      <c r="B662" s="94"/>
      <c r="C662" s="94"/>
      <c r="D662" s="94"/>
      <c r="E662" s="94"/>
      <c r="F662" s="94"/>
      <c r="G662" s="94"/>
      <c r="H662" s="94"/>
      <c r="I662" s="94"/>
      <c r="J662" s="94"/>
      <c r="K662" s="94"/>
      <c r="L662" s="94"/>
      <c r="M662" s="94"/>
      <c r="N662" s="94"/>
      <c r="O662" s="94"/>
      <c r="P662" s="94"/>
      <c r="Q662" s="94"/>
      <c r="R662" s="94"/>
      <c r="S662" s="94"/>
      <c r="T662" s="94"/>
      <c r="U662" s="94"/>
    </row>
    <row r="663" spans="1:21">
      <c r="A663" s="94"/>
      <c r="B663" s="94"/>
      <c r="C663" s="94"/>
      <c r="D663" s="94"/>
      <c r="E663" s="94"/>
      <c r="F663" s="94"/>
      <c r="G663" s="94"/>
      <c r="H663" s="94"/>
      <c r="I663" s="94"/>
      <c r="J663" s="94"/>
      <c r="K663" s="94"/>
      <c r="L663" s="94"/>
      <c r="M663" s="94"/>
      <c r="N663" s="94"/>
      <c r="O663" s="94"/>
      <c r="P663" s="94"/>
      <c r="Q663" s="94"/>
      <c r="R663" s="94"/>
      <c r="S663" s="94"/>
      <c r="T663" s="94"/>
      <c r="U663" s="94"/>
    </row>
    <row r="664" spans="1:21">
      <c r="A664" s="94"/>
      <c r="B664" s="94"/>
      <c r="C664" s="94"/>
      <c r="D664" s="94"/>
      <c r="E664" s="94"/>
      <c r="F664" s="94"/>
      <c r="G664" s="94"/>
      <c r="H664" s="94"/>
      <c r="I664" s="94"/>
      <c r="J664" s="94"/>
      <c r="K664" s="94"/>
      <c r="L664" s="94"/>
      <c r="M664" s="94"/>
      <c r="N664" s="94"/>
      <c r="O664" s="94"/>
      <c r="P664" s="94"/>
      <c r="Q664" s="94"/>
      <c r="R664" s="94"/>
      <c r="S664" s="94"/>
      <c r="T664" s="94"/>
      <c r="U664" s="94"/>
    </row>
    <row r="665" spans="1:21">
      <c r="A665" s="94"/>
      <c r="B665" s="94"/>
      <c r="C665" s="94"/>
      <c r="D665" s="94"/>
      <c r="E665" s="94"/>
      <c r="F665" s="94"/>
      <c r="G665" s="94"/>
      <c r="H665" s="94"/>
      <c r="I665" s="94"/>
      <c r="J665" s="94"/>
      <c r="K665" s="94"/>
      <c r="L665" s="94"/>
      <c r="M665" s="94"/>
      <c r="N665" s="94"/>
      <c r="O665" s="94"/>
      <c r="P665" s="94"/>
      <c r="Q665" s="94"/>
      <c r="R665" s="94"/>
      <c r="S665" s="94"/>
      <c r="T665" s="94"/>
      <c r="U665" s="94"/>
    </row>
    <row r="666" spans="1:21">
      <c r="A666" s="94"/>
      <c r="B666" s="94"/>
      <c r="C666" s="94"/>
      <c r="D666" s="94"/>
      <c r="E666" s="94"/>
      <c r="F666" s="94"/>
      <c r="G666" s="94"/>
      <c r="H666" s="94"/>
      <c r="I666" s="94"/>
      <c r="J666" s="94"/>
      <c r="K666" s="94"/>
      <c r="L666" s="94"/>
      <c r="M666" s="94"/>
      <c r="N666" s="94"/>
      <c r="O666" s="94"/>
      <c r="P666" s="94"/>
      <c r="Q666" s="94"/>
      <c r="R666" s="94"/>
      <c r="S666" s="94"/>
      <c r="T666" s="94"/>
      <c r="U666" s="94"/>
    </row>
    <row r="667" spans="1:21">
      <c r="A667" s="94"/>
      <c r="B667" s="94"/>
      <c r="C667" s="94"/>
      <c r="D667" s="94"/>
      <c r="E667" s="94"/>
      <c r="F667" s="94"/>
      <c r="G667" s="94"/>
      <c r="H667" s="94"/>
      <c r="I667" s="94"/>
      <c r="J667" s="94"/>
      <c r="K667" s="94"/>
      <c r="L667" s="94"/>
      <c r="M667" s="94"/>
      <c r="N667" s="94"/>
      <c r="O667" s="94"/>
      <c r="P667" s="94"/>
      <c r="Q667" s="94"/>
      <c r="R667" s="94"/>
      <c r="S667" s="94"/>
      <c r="T667" s="94"/>
      <c r="U667" s="94"/>
    </row>
    <row r="668" spans="1:21">
      <c r="A668" s="94"/>
      <c r="B668" s="94"/>
      <c r="C668" s="94"/>
      <c r="D668" s="94"/>
      <c r="E668" s="94"/>
      <c r="F668" s="94"/>
      <c r="G668" s="94"/>
      <c r="H668" s="94"/>
      <c r="I668" s="94"/>
      <c r="J668" s="94"/>
      <c r="K668" s="94"/>
      <c r="L668" s="94"/>
      <c r="M668" s="94"/>
      <c r="N668" s="94"/>
      <c r="O668" s="94"/>
      <c r="P668" s="94"/>
      <c r="Q668" s="94"/>
      <c r="R668" s="94"/>
      <c r="S668" s="94"/>
      <c r="T668" s="94"/>
      <c r="U668" s="94"/>
    </row>
    <row r="669" spans="1:21">
      <c r="A669" s="94"/>
      <c r="B669" s="94"/>
      <c r="C669" s="94"/>
      <c r="D669" s="94"/>
      <c r="E669" s="94"/>
      <c r="F669" s="94"/>
      <c r="G669" s="94"/>
      <c r="H669" s="94"/>
      <c r="I669" s="94"/>
      <c r="J669" s="94"/>
      <c r="K669" s="94"/>
      <c r="L669" s="94"/>
      <c r="M669" s="94"/>
      <c r="N669" s="94"/>
      <c r="O669" s="94"/>
      <c r="P669" s="94"/>
      <c r="Q669" s="94"/>
      <c r="R669" s="94"/>
      <c r="S669" s="94"/>
      <c r="T669" s="94"/>
      <c r="U669" s="94"/>
    </row>
    <row r="670" spans="1:21">
      <c r="A670" s="94"/>
      <c r="B670" s="94"/>
      <c r="C670" s="94"/>
      <c r="D670" s="94"/>
      <c r="E670" s="94"/>
      <c r="F670" s="94"/>
      <c r="G670" s="94"/>
      <c r="H670" s="94"/>
      <c r="I670" s="94"/>
      <c r="J670" s="94"/>
      <c r="K670" s="94"/>
      <c r="L670" s="94"/>
      <c r="M670" s="94"/>
      <c r="N670" s="94"/>
      <c r="O670" s="94"/>
      <c r="P670" s="94"/>
      <c r="Q670" s="94"/>
      <c r="R670" s="94"/>
      <c r="S670" s="94"/>
      <c r="T670" s="94"/>
      <c r="U670" s="94"/>
    </row>
    <row r="671" spans="1:21">
      <c r="A671" s="94"/>
      <c r="B671" s="94"/>
      <c r="C671" s="94"/>
      <c r="D671" s="94"/>
      <c r="E671" s="94"/>
      <c r="F671" s="94"/>
      <c r="G671" s="94"/>
      <c r="H671" s="94"/>
      <c r="I671" s="94"/>
      <c r="J671" s="94"/>
      <c r="K671" s="94"/>
      <c r="L671" s="94"/>
      <c r="M671" s="94"/>
      <c r="N671" s="94"/>
      <c r="O671" s="94"/>
      <c r="P671" s="94"/>
      <c r="Q671" s="94"/>
      <c r="R671" s="94"/>
      <c r="S671" s="94"/>
      <c r="T671" s="94"/>
      <c r="U671" s="94"/>
    </row>
    <row r="672" spans="1:21">
      <c r="A672" s="94"/>
      <c r="B672" s="94"/>
      <c r="C672" s="94"/>
      <c r="D672" s="94"/>
      <c r="E672" s="94"/>
      <c r="F672" s="94"/>
      <c r="G672" s="94"/>
      <c r="H672" s="94"/>
      <c r="I672" s="94"/>
      <c r="J672" s="94"/>
      <c r="K672" s="94"/>
      <c r="L672" s="94"/>
      <c r="M672" s="94"/>
      <c r="N672" s="94"/>
      <c r="O672" s="94"/>
      <c r="P672" s="94"/>
      <c r="Q672" s="94"/>
      <c r="R672" s="94"/>
      <c r="S672" s="94"/>
      <c r="T672" s="94"/>
      <c r="U672" s="94"/>
    </row>
    <row r="673" spans="1:21">
      <c r="A673" s="94"/>
      <c r="B673" s="94"/>
      <c r="C673" s="94"/>
      <c r="D673" s="94"/>
      <c r="E673" s="94"/>
      <c r="F673" s="94"/>
      <c r="G673" s="94"/>
      <c r="H673" s="94"/>
      <c r="I673" s="94"/>
      <c r="J673" s="94"/>
      <c r="K673" s="94"/>
      <c r="L673" s="94"/>
      <c r="M673" s="94"/>
      <c r="N673" s="94"/>
      <c r="O673" s="94"/>
      <c r="P673" s="94"/>
      <c r="Q673" s="94"/>
      <c r="R673" s="94"/>
      <c r="S673" s="94"/>
      <c r="T673" s="94"/>
      <c r="U673" s="94"/>
    </row>
    <row r="674" spans="1:21">
      <c r="A674" s="94"/>
      <c r="B674" s="94"/>
      <c r="C674" s="94"/>
      <c r="D674" s="94"/>
      <c r="E674" s="94"/>
      <c r="F674" s="94"/>
      <c r="G674" s="94"/>
      <c r="H674" s="94"/>
      <c r="I674" s="94"/>
      <c r="J674" s="94"/>
      <c r="K674" s="94"/>
      <c r="L674" s="94"/>
      <c r="M674" s="94"/>
      <c r="N674" s="94"/>
      <c r="O674" s="94"/>
      <c r="P674" s="94"/>
      <c r="Q674" s="94"/>
      <c r="R674" s="94"/>
      <c r="S674" s="94"/>
      <c r="T674" s="94"/>
      <c r="U674" s="94"/>
    </row>
    <row r="675" spans="1:21">
      <c r="A675" s="94"/>
      <c r="B675" s="94"/>
      <c r="C675" s="94"/>
      <c r="D675" s="94"/>
      <c r="E675" s="94"/>
      <c r="F675" s="94"/>
      <c r="G675" s="94"/>
      <c r="H675" s="94"/>
      <c r="I675" s="94"/>
      <c r="J675" s="94"/>
      <c r="K675" s="94"/>
      <c r="L675" s="94"/>
      <c r="M675" s="94"/>
      <c r="N675" s="94"/>
      <c r="O675" s="94"/>
      <c r="P675" s="94"/>
      <c r="Q675" s="94"/>
      <c r="R675" s="94"/>
      <c r="S675" s="94"/>
      <c r="T675" s="94"/>
      <c r="U675" s="94"/>
    </row>
    <row r="676" spans="1:21">
      <c r="A676" s="94"/>
      <c r="B676" s="94"/>
      <c r="C676" s="94"/>
      <c r="D676" s="94"/>
      <c r="E676" s="94"/>
      <c r="F676" s="94"/>
      <c r="G676" s="94"/>
      <c r="H676" s="94"/>
      <c r="I676" s="94"/>
      <c r="J676" s="94"/>
      <c r="K676" s="94"/>
      <c r="L676" s="94"/>
      <c r="M676" s="94"/>
      <c r="N676" s="94"/>
      <c r="O676" s="94"/>
      <c r="P676" s="94"/>
      <c r="Q676" s="94"/>
      <c r="R676" s="94"/>
      <c r="S676" s="94"/>
      <c r="T676" s="94"/>
      <c r="U676" s="94"/>
    </row>
    <row r="677" spans="1:21">
      <c r="A677" s="94"/>
      <c r="B677" s="94"/>
      <c r="C677" s="94"/>
      <c r="D677" s="94"/>
      <c r="E677" s="94"/>
      <c r="F677" s="94"/>
      <c r="G677" s="94"/>
      <c r="H677" s="94"/>
      <c r="I677" s="94"/>
      <c r="J677" s="94"/>
      <c r="K677" s="94"/>
      <c r="L677" s="94"/>
      <c r="M677" s="94"/>
      <c r="N677" s="94"/>
      <c r="O677" s="94"/>
      <c r="P677" s="94"/>
      <c r="Q677" s="94"/>
      <c r="R677" s="94"/>
      <c r="S677" s="94"/>
      <c r="T677" s="94"/>
      <c r="U677" s="94"/>
    </row>
    <row r="678" spans="1:21">
      <c r="A678" s="94"/>
      <c r="B678" s="94"/>
      <c r="C678" s="94"/>
      <c r="D678" s="94"/>
      <c r="E678" s="94"/>
      <c r="F678" s="94"/>
      <c r="G678" s="94"/>
      <c r="H678" s="94"/>
      <c r="I678" s="94"/>
      <c r="J678" s="94"/>
      <c r="K678" s="94"/>
      <c r="L678" s="94"/>
      <c r="M678" s="94"/>
      <c r="N678" s="94"/>
      <c r="O678" s="94"/>
      <c r="P678" s="94"/>
      <c r="Q678" s="94"/>
      <c r="R678" s="94"/>
      <c r="S678" s="94"/>
      <c r="T678" s="94"/>
      <c r="U678" s="94"/>
    </row>
    <row r="679" spans="1:21">
      <c r="A679" s="94"/>
      <c r="B679" s="94"/>
      <c r="C679" s="94"/>
      <c r="D679" s="94"/>
      <c r="E679" s="94"/>
      <c r="F679" s="94"/>
      <c r="G679" s="94"/>
      <c r="H679" s="94"/>
      <c r="I679" s="94"/>
      <c r="J679" s="94"/>
      <c r="K679" s="94"/>
      <c r="L679" s="94"/>
      <c r="M679" s="94"/>
      <c r="N679" s="94"/>
      <c r="O679" s="94"/>
      <c r="P679" s="94"/>
      <c r="Q679" s="94"/>
      <c r="R679" s="94"/>
      <c r="S679" s="94"/>
      <c r="T679" s="94"/>
      <c r="U679" s="94"/>
    </row>
    <row r="680" spans="1:21">
      <c r="A680" s="94"/>
      <c r="B680" s="94"/>
      <c r="C680" s="94"/>
      <c r="D680" s="94"/>
      <c r="E680" s="94"/>
      <c r="F680" s="94"/>
      <c r="G680" s="94"/>
      <c r="H680" s="94"/>
      <c r="I680" s="94"/>
      <c r="J680" s="94"/>
      <c r="K680" s="94"/>
      <c r="L680" s="94"/>
      <c r="M680" s="94"/>
      <c r="N680" s="94"/>
      <c r="O680" s="94"/>
      <c r="P680" s="94"/>
      <c r="Q680" s="94"/>
      <c r="R680" s="94"/>
      <c r="S680" s="94"/>
      <c r="T680" s="94"/>
      <c r="U680" s="94"/>
    </row>
    <row r="681" spans="1:21">
      <c r="A681" s="94"/>
      <c r="B681" s="94"/>
      <c r="C681" s="94"/>
      <c r="D681" s="94"/>
      <c r="E681" s="94"/>
      <c r="F681" s="94"/>
      <c r="G681" s="94"/>
      <c r="H681" s="94"/>
      <c r="I681" s="94"/>
      <c r="J681" s="94"/>
      <c r="K681" s="94"/>
      <c r="L681" s="94"/>
      <c r="M681" s="94"/>
      <c r="N681" s="94"/>
      <c r="O681" s="94"/>
      <c r="P681" s="94"/>
      <c r="Q681" s="94"/>
      <c r="R681" s="94"/>
      <c r="S681" s="94"/>
      <c r="T681" s="94"/>
      <c r="U681" s="94"/>
    </row>
    <row r="682" spans="1:21">
      <c r="A682" s="94"/>
      <c r="B682" s="94"/>
      <c r="C682" s="94"/>
      <c r="D682" s="94"/>
      <c r="E682" s="94"/>
      <c r="F682" s="94"/>
      <c r="G682" s="94"/>
      <c r="H682" s="94"/>
      <c r="I682" s="94"/>
      <c r="J682" s="94"/>
      <c r="K682" s="94"/>
      <c r="L682" s="94"/>
      <c r="M682" s="94"/>
      <c r="N682" s="94"/>
      <c r="O682" s="94"/>
      <c r="P682" s="94"/>
      <c r="Q682" s="94"/>
      <c r="R682" s="94"/>
      <c r="S682" s="94"/>
      <c r="T682" s="94"/>
      <c r="U682" s="94"/>
    </row>
    <row r="683" spans="1:21">
      <c r="A683" s="94"/>
      <c r="B683" s="94"/>
      <c r="C683" s="94"/>
      <c r="D683" s="94"/>
      <c r="E683" s="94"/>
      <c r="F683" s="94"/>
      <c r="G683" s="94"/>
      <c r="H683" s="94"/>
      <c r="I683" s="94"/>
      <c r="J683" s="94"/>
      <c r="K683" s="94"/>
      <c r="L683" s="94"/>
      <c r="M683" s="94"/>
      <c r="N683" s="94"/>
      <c r="O683" s="94"/>
      <c r="P683" s="94"/>
      <c r="Q683" s="94"/>
      <c r="R683" s="94"/>
      <c r="S683" s="94"/>
      <c r="T683" s="94"/>
      <c r="U683" s="94"/>
    </row>
    <row r="684" spans="1:21">
      <c r="A684" s="94"/>
      <c r="B684" s="94"/>
      <c r="C684" s="94"/>
      <c r="D684" s="94"/>
      <c r="E684" s="94"/>
      <c r="F684" s="94"/>
      <c r="G684" s="94"/>
      <c r="H684" s="94"/>
      <c r="I684" s="94"/>
      <c r="J684" s="94"/>
      <c r="K684" s="94"/>
      <c r="L684" s="94"/>
      <c r="M684" s="94"/>
      <c r="N684" s="94"/>
      <c r="O684" s="94"/>
      <c r="P684" s="94"/>
      <c r="Q684" s="94"/>
      <c r="R684" s="94"/>
      <c r="S684" s="94"/>
      <c r="T684" s="94"/>
      <c r="U684" s="94"/>
    </row>
    <row r="685" spans="1:21">
      <c r="A685" s="94"/>
      <c r="B685" s="94"/>
      <c r="C685" s="94"/>
      <c r="D685" s="94"/>
      <c r="E685" s="94"/>
      <c r="F685" s="94"/>
      <c r="G685" s="94"/>
      <c r="H685" s="94"/>
      <c r="I685" s="94"/>
      <c r="J685" s="94"/>
      <c r="K685" s="94"/>
      <c r="L685" s="94"/>
      <c r="M685" s="94"/>
      <c r="N685" s="94"/>
      <c r="O685" s="94"/>
      <c r="P685" s="94"/>
      <c r="Q685" s="94"/>
      <c r="R685" s="94"/>
      <c r="S685" s="94"/>
      <c r="T685" s="94"/>
      <c r="U685" s="94"/>
    </row>
    <row r="686" spans="1:21">
      <c r="A686" s="94"/>
      <c r="B686" s="94"/>
      <c r="C686" s="94"/>
      <c r="D686" s="94"/>
      <c r="E686" s="94"/>
      <c r="F686" s="94"/>
      <c r="G686" s="94"/>
      <c r="H686" s="94"/>
      <c r="I686" s="94"/>
      <c r="J686" s="94"/>
      <c r="K686" s="94"/>
      <c r="L686" s="94"/>
      <c r="M686" s="94"/>
      <c r="N686" s="94"/>
      <c r="O686" s="94"/>
      <c r="P686" s="94"/>
      <c r="Q686" s="94"/>
      <c r="R686" s="94"/>
      <c r="S686" s="94"/>
      <c r="T686" s="94"/>
      <c r="U686" s="94"/>
    </row>
    <row r="687" spans="1:21">
      <c r="A687" s="94"/>
      <c r="B687" s="94"/>
      <c r="C687" s="94"/>
      <c r="D687" s="94"/>
      <c r="E687" s="94"/>
      <c r="F687" s="94"/>
      <c r="G687" s="94"/>
      <c r="H687" s="94"/>
      <c r="I687" s="94"/>
      <c r="J687" s="94"/>
      <c r="K687" s="94"/>
      <c r="L687" s="94"/>
      <c r="M687" s="94"/>
      <c r="N687" s="94"/>
      <c r="O687" s="94"/>
      <c r="P687" s="94"/>
      <c r="Q687" s="94"/>
      <c r="R687" s="94"/>
      <c r="S687" s="94"/>
      <c r="T687" s="94"/>
      <c r="U687" s="94"/>
    </row>
    <row r="688" spans="1:21">
      <c r="A688" s="94"/>
      <c r="B688" s="94"/>
      <c r="C688" s="94"/>
      <c r="D688" s="94"/>
      <c r="E688" s="94"/>
      <c r="F688" s="94"/>
      <c r="G688" s="94"/>
      <c r="H688" s="94"/>
      <c r="I688" s="94"/>
      <c r="J688" s="94"/>
      <c r="K688" s="94"/>
      <c r="L688" s="94"/>
      <c r="M688" s="94"/>
      <c r="N688" s="94"/>
      <c r="O688" s="94"/>
      <c r="P688" s="94"/>
      <c r="Q688" s="94"/>
      <c r="R688" s="94"/>
      <c r="S688" s="94"/>
      <c r="T688" s="94"/>
      <c r="U688" s="94"/>
    </row>
    <row r="689" spans="1:21">
      <c r="A689" s="94"/>
      <c r="B689" s="94"/>
      <c r="C689" s="94"/>
      <c r="D689" s="94"/>
      <c r="E689" s="94"/>
      <c r="F689" s="94"/>
      <c r="G689" s="94"/>
      <c r="H689" s="94"/>
      <c r="I689" s="94"/>
      <c r="J689" s="94"/>
      <c r="K689" s="94"/>
      <c r="L689" s="94"/>
      <c r="M689" s="94"/>
      <c r="N689" s="94"/>
      <c r="O689" s="94"/>
      <c r="P689" s="94"/>
      <c r="Q689" s="94"/>
      <c r="R689" s="94"/>
      <c r="S689" s="94"/>
      <c r="T689" s="94"/>
      <c r="U689" s="94"/>
    </row>
    <row r="690" spans="1:21">
      <c r="A690" s="94"/>
      <c r="B690" s="94"/>
      <c r="C690" s="94"/>
      <c r="D690" s="94"/>
      <c r="E690" s="94"/>
      <c r="F690" s="94"/>
      <c r="G690" s="94"/>
      <c r="H690" s="94"/>
      <c r="I690" s="94"/>
      <c r="J690" s="94"/>
      <c r="K690" s="94"/>
      <c r="L690" s="94"/>
      <c r="M690" s="94"/>
      <c r="N690" s="94"/>
      <c r="O690" s="94"/>
      <c r="P690" s="94"/>
      <c r="Q690" s="94"/>
      <c r="R690" s="94"/>
      <c r="S690" s="94"/>
      <c r="T690" s="94"/>
      <c r="U690" s="94"/>
    </row>
    <row r="691" spans="1:21">
      <c r="A691" s="94"/>
      <c r="B691" s="94"/>
      <c r="C691" s="94"/>
      <c r="D691" s="94"/>
      <c r="E691" s="94"/>
      <c r="F691" s="94"/>
      <c r="G691" s="94"/>
      <c r="H691" s="94"/>
      <c r="I691" s="94"/>
      <c r="J691" s="94"/>
      <c r="K691" s="94"/>
      <c r="L691" s="94"/>
      <c r="M691" s="94"/>
      <c r="N691" s="94"/>
      <c r="O691" s="94"/>
      <c r="P691" s="94"/>
      <c r="Q691" s="94"/>
      <c r="R691" s="94"/>
      <c r="S691" s="94"/>
      <c r="T691" s="94"/>
      <c r="U691" s="94"/>
    </row>
    <row r="692" spans="1:21">
      <c r="A692" s="94"/>
      <c r="B692" s="94"/>
      <c r="C692" s="94"/>
      <c r="D692" s="94"/>
      <c r="E692" s="94"/>
      <c r="F692" s="94"/>
      <c r="G692" s="94"/>
      <c r="H692" s="94"/>
      <c r="I692" s="94"/>
      <c r="J692" s="94"/>
      <c r="K692" s="94"/>
      <c r="L692" s="94"/>
      <c r="M692" s="94"/>
      <c r="N692" s="94"/>
      <c r="O692" s="94"/>
      <c r="P692" s="94"/>
      <c r="Q692" s="94"/>
      <c r="R692" s="94"/>
      <c r="S692" s="94"/>
      <c r="T692" s="94"/>
      <c r="U692" s="94"/>
    </row>
    <row r="693" spans="1:21">
      <c r="A693" s="94"/>
      <c r="B693" s="94"/>
      <c r="C693" s="94"/>
      <c r="D693" s="94"/>
      <c r="E693" s="94"/>
      <c r="F693" s="94"/>
      <c r="G693" s="94"/>
      <c r="H693" s="94"/>
      <c r="I693" s="94"/>
      <c r="J693" s="94"/>
      <c r="K693" s="94"/>
      <c r="L693" s="94"/>
      <c r="M693" s="94"/>
      <c r="N693" s="94"/>
      <c r="O693" s="94"/>
      <c r="P693" s="94"/>
      <c r="Q693" s="94"/>
      <c r="R693" s="94"/>
      <c r="S693" s="94"/>
      <c r="T693" s="94"/>
      <c r="U693" s="94"/>
    </row>
    <row r="694" spans="1:21">
      <c r="A694" s="94"/>
      <c r="B694" s="94"/>
      <c r="C694" s="94"/>
      <c r="D694" s="94"/>
      <c r="E694" s="94"/>
      <c r="F694" s="94"/>
      <c r="G694" s="94"/>
      <c r="H694" s="94"/>
      <c r="I694" s="94"/>
      <c r="J694" s="94"/>
      <c r="K694" s="94"/>
      <c r="L694" s="94"/>
      <c r="M694" s="94"/>
      <c r="N694" s="94"/>
      <c r="O694" s="94"/>
      <c r="P694" s="94"/>
      <c r="Q694" s="94"/>
      <c r="R694" s="94"/>
      <c r="S694" s="94"/>
      <c r="T694" s="94"/>
      <c r="U694" s="94"/>
    </row>
    <row r="695" spans="1:21">
      <c r="A695" s="94"/>
      <c r="B695" s="94"/>
      <c r="C695" s="94"/>
      <c r="D695" s="94"/>
      <c r="E695" s="94"/>
      <c r="F695" s="94"/>
      <c r="G695" s="94"/>
      <c r="H695" s="94"/>
      <c r="I695" s="94"/>
      <c r="J695" s="94"/>
      <c r="K695" s="94"/>
      <c r="L695" s="94"/>
      <c r="M695" s="94"/>
      <c r="N695" s="94"/>
      <c r="O695" s="94"/>
      <c r="P695" s="94"/>
      <c r="Q695" s="94"/>
      <c r="R695" s="94"/>
      <c r="S695" s="94"/>
      <c r="T695" s="94"/>
      <c r="U695" s="94"/>
    </row>
    <row r="696" spans="1:21">
      <c r="A696" s="94"/>
      <c r="B696" s="94"/>
      <c r="C696" s="94"/>
      <c r="D696" s="94"/>
      <c r="E696" s="94"/>
      <c r="F696" s="94"/>
      <c r="G696" s="94"/>
      <c r="H696" s="94"/>
      <c r="I696" s="94"/>
      <c r="J696" s="94"/>
      <c r="K696" s="94"/>
      <c r="L696" s="94"/>
      <c r="M696" s="94"/>
      <c r="N696" s="94"/>
      <c r="O696" s="94"/>
      <c r="P696" s="94"/>
      <c r="Q696" s="94"/>
      <c r="R696" s="94"/>
      <c r="S696" s="94"/>
      <c r="T696" s="94"/>
      <c r="U696" s="94"/>
    </row>
    <row r="697" spans="1:21">
      <c r="A697" s="94"/>
      <c r="B697" s="94"/>
      <c r="C697" s="94"/>
      <c r="D697" s="94"/>
      <c r="E697" s="94"/>
      <c r="F697" s="94"/>
      <c r="G697" s="94"/>
      <c r="H697" s="94"/>
      <c r="I697" s="94"/>
      <c r="J697" s="94"/>
      <c r="K697" s="94"/>
      <c r="L697" s="94"/>
      <c r="M697" s="94"/>
      <c r="N697" s="94"/>
      <c r="O697" s="94"/>
      <c r="P697" s="94"/>
      <c r="Q697" s="94"/>
      <c r="R697" s="94"/>
      <c r="S697" s="94"/>
      <c r="T697" s="94"/>
      <c r="U697" s="94"/>
    </row>
    <row r="698" spans="1:21">
      <c r="A698" s="94"/>
      <c r="B698" s="94"/>
      <c r="C698" s="94"/>
      <c r="D698" s="94"/>
      <c r="E698" s="94"/>
      <c r="F698" s="94"/>
      <c r="G698" s="94"/>
      <c r="H698" s="94"/>
      <c r="I698" s="94"/>
      <c r="J698" s="94"/>
      <c r="K698" s="94"/>
      <c r="L698" s="94"/>
      <c r="M698" s="94"/>
      <c r="N698" s="94"/>
      <c r="O698" s="94"/>
      <c r="P698" s="94"/>
      <c r="Q698" s="94"/>
      <c r="R698" s="94"/>
      <c r="S698" s="94"/>
      <c r="T698" s="94"/>
      <c r="U698" s="94"/>
    </row>
    <row r="699" spans="1:21">
      <c r="A699" s="94"/>
      <c r="B699" s="94"/>
      <c r="C699" s="94"/>
      <c r="D699" s="94"/>
      <c r="E699" s="94"/>
      <c r="F699" s="94"/>
      <c r="G699" s="94"/>
      <c r="H699" s="94"/>
      <c r="I699" s="94"/>
      <c r="J699" s="94"/>
      <c r="K699" s="94"/>
      <c r="L699" s="94"/>
      <c r="M699" s="94"/>
      <c r="N699" s="94"/>
      <c r="O699" s="94"/>
      <c r="P699" s="94"/>
      <c r="Q699" s="94"/>
      <c r="R699" s="94"/>
      <c r="S699" s="94"/>
      <c r="T699" s="94"/>
      <c r="U699" s="94"/>
    </row>
    <row r="700" spans="1:21">
      <c r="A700" s="94"/>
      <c r="B700" s="94"/>
      <c r="C700" s="94"/>
      <c r="D700" s="94"/>
      <c r="E700" s="94"/>
      <c r="F700" s="94"/>
      <c r="G700" s="94"/>
      <c r="H700" s="94"/>
      <c r="I700" s="94"/>
      <c r="J700" s="94"/>
      <c r="K700" s="94"/>
      <c r="L700" s="94"/>
      <c r="M700" s="94"/>
      <c r="N700" s="94"/>
      <c r="O700" s="94"/>
      <c r="P700" s="94"/>
      <c r="Q700" s="94"/>
      <c r="R700" s="94"/>
      <c r="S700" s="94"/>
      <c r="T700" s="94"/>
      <c r="U700" s="94"/>
    </row>
    <row r="701" spans="1:21">
      <c r="A701" s="94"/>
      <c r="B701" s="94"/>
      <c r="C701" s="94"/>
      <c r="D701" s="94"/>
      <c r="E701" s="94"/>
      <c r="F701" s="94"/>
      <c r="G701" s="94"/>
      <c r="H701" s="94"/>
      <c r="I701" s="94"/>
      <c r="J701" s="94"/>
      <c r="K701" s="94"/>
      <c r="L701" s="94"/>
      <c r="M701" s="94"/>
      <c r="N701" s="94"/>
      <c r="O701" s="94"/>
      <c r="P701" s="94"/>
      <c r="Q701" s="94"/>
      <c r="R701" s="94"/>
      <c r="S701" s="94"/>
      <c r="T701" s="94"/>
      <c r="U701" s="94"/>
    </row>
    <row r="702" spans="1:21">
      <c r="A702" s="94"/>
      <c r="B702" s="94"/>
      <c r="C702" s="94"/>
      <c r="D702" s="94"/>
      <c r="E702" s="94"/>
      <c r="F702" s="94"/>
      <c r="G702" s="94"/>
      <c r="H702" s="94"/>
      <c r="I702" s="94"/>
      <c r="J702" s="94"/>
      <c r="K702" s="94"/>
      <c r="L702" s="94"/>
      <c r="M702" s="94"/>
      <c r="N702" s="94"/>
      <c r="O702" s="94"/>
      <c r="P702" s="94"/>
      <c r="Q702" s="94"/>
      <c r="R702" s="94"/>
      <c r="S702" s="94"/>
      <c r="T702" s="94"/>
      <c r="U702" s="94"/>
    </row>
    <row r="703" spans="1:21">
      <c r="A703" s="94"/>
      <c r="B703" s="94"/>
      <c r="C703" s="94"/>
      <c r="D703" s="94"/>
      <c r="E703" s="94"/>
      <c r="F703" s="94"/>
      <c r="G703" s="94"/>
      <c r="H703" s="94"/>
      <c r="I703" s="94"/>
      <c r="J703" s="94"/>
      <c r="K703" s="94"/>
      <c r="L703" s="94"/>
      <c r="M703" s="94"/>
      <c r="N703" s="94"/>
      <c r="O703" s="94"/>
      <c r="P703" s="94"/>
      <c r="Q703" s="94"/>
      <c r="R703" s="94"/>
      <c r="S703" s="94"/>
      <c r="T703" s="94"/>
      <c r="U703" s="94"/>
    </row>
    <row r="704" spans="1:21">
      <c r="A704" s="94"/>
      <c r="B704" s="94"/>
      <c r="C704" s="94"/>
      <c r="D704" s="94"/>
      <c r="E704" s="94"/>
      <c r="F704" s="94"/>
      <c r="G704" s="94"/>
      <c r="H704" s="94"/>
      <c r="I704" s="94"/>
      <c r="J704" s="94"/>
      <c r="K704" s="94"/>
      <c r="L704" s="94"/>
      <c r="M704" s="94"/>
      <c r="N704" s="94"/>
      <c r="O704" s="94"/>
      <c r="P704" s="94"/>
      <c r="Q704" s="94"/>
      <c r="R704" s="94"/>
      <c r="S704" s="94"/>
      <c r="T704" s="94"/>
      <c r="U704" s="94"/>
    </row>
    <row r="705" spans="1:21">
      <c r="A705" s="94"/>
      <c r="B705" s="94"/>
      <c r="C705" s="94"/>
      <c r="D705" s="94"/>
      <c r="E705" s="94"/>
      <c r="F705" s="94"/>
      <c r="G705" s="94"/>
      <c r="H705" s="94"/>
      <c r="I705" s="94"/>
      <c r="J705" s="94"/>
      <c r="K705" s="94"/>
      <c r="L705" s="94"/>
      <c r="M705" s="94"/>
      <c r="N705" s="94"/>
      <c r="O705" s="94"/>
      <c r="P705" s="94"/>
      <c r="Q705" s="94"/>
      <c r="R705" s="94"/>
      <c r="S705" s="94"/>
      <c r="T705" s="94"/>
      <c r="U705" s="94"/>
    </row>
    <row r="706" spans="1:21">
      <c r="A706" s="94"/>
      <c r="B706" s="94"/>
      <c r="C706" s="94"/>
      <c r="D706" s="94"/>
      <c r="E706" s="94"/>
      <c r="F706" s="94"/>
      <c r="G706" s="94"/>
      <c r="H706" s="94"/>
      <c r="I706" s="94"/>
      <c r="J706" s="94"/>
      <c r="K706" s="94"/>
      <c r="L706" s="94"/>
      <c r="M706" s="94"/>
      <c r="N706" s="94"/>
      <c r="O706" s="94"/>
      <c r="P706" s="94"/>
      <c r="Q706" s="94"/>
      <c r="R706" s="94"/>
      <c r="S706" s="94"/>
      <c r="T706" s="94"/>
      <c r="U706" s="94"/>
    </row>
    <row r="707" spans="1:21">
      <c r="A707" s="94"/>
      <c r="B707" s="94"/>
      <c r="C707" s="94"/>
      <c r="D707" s="94"/>
      <c r="E707" s="94"/>
      <c r="F707" s="94"/>
      <c r="G707" s="94"/>
      <c r="H707" s="94"/>
      <c r="I707" s="94"/>
      <c r="J707" s="94"/>
      <c r="K707" s="94"/>
      <c r="L707" s="94"/>
      <c r="M707" s="94"/>
      <c r="N707" s="94"/>
      <c r="O707" s="94"/>
      <c r="P707" s="94"/>
      <c r="Q707" s="94"/>
      <c r="R707" s="94"/>
      <c r="S707" s="94"/>
      <c r="T707" s="94"/>
      <c r="U707" s="94"/>
    </row>
    <row r="708" spans="1:21">
      <c r="A708" s="94"/>
      <c r="B708" s="94"/>
      <c r="C708" s="94"/>
      <c r="D708" s="94"/>
      <c r="E708" s="94"/>
      <c r="F708" s="94"/>
      <c r="G708" s="94"/>
      <c r="H708" s="94"/>
      <c r="I708" s="94"/>
      <c r="J708" s="94"/>
      <c r="K708" s="94"/>
      <c r="L708" s="94"/>
      <c r="M708" s="94"/>
      <c r="N708" s="94"/>
      <c r="O708" s="94"/>
      <c r="P708" s="94"/>
      <c r="Q708" s="94"/>
      <c r="R708" s="94"/>
      <c r="S708" s="94"/>
      <c r="T708" s="94"/>
      <c r="U708" s="94"/>
    </row>
    <row r="709" spans="1:21">
      <c r="A709" s="94"/>
      <c r="B709" s="94"/>
      <c r="C709" s="94"/>
      <c r="D709" s="94"/>
      <c r="E709" s="94"/>
      <c r="F709" s="94"/>
      <c r="G709" s="94"/>
      <c r="H709" s="94"/>
      <c r="I709" s="94"/>
      <c r="J709" s="94"/>
      <c r="K709" s="94"/>
      <c r="L709" s="94"/>
      <c r="M709" s="94"/>
      <c r="N709" s="94"/>
      <c r="O709" s="94"/>
      <c r="P709" s="94"/>
      <c r="Q709" s="94"/>
      <c r="R709" s="94"/>
      <c r="S709" s="94"/>
      <c r="T709" s="94"/>
      <c r="U709" s="94"/>
    </row>
    <row r="710" spans="1:21">
      <c r="A710" s="94"/>
      <c r="B710" s="94"/>
      <c r="C710" s="94"/>
      <c r="D710" s="94"/>
      <c r="E710" s="94"/>
      <c r="F710" s="94"/>
      <c r="G710" s="94"/>
      <c r="H710" s="94"/>
      <c r="I710" s="94"/>
      <c r="J710" s="94"/>
      <c r="K710" s="94"/>
      <c r="L710" s="94"/>
      <c r="M710" s="94"/>
      <c r="N710" s="94"/>
      <c r="O710" s="94"/>
      <c r="P710" s="94"/>
      <c r="Q710" s="94"/>
      <c r="R710" s="94"/>
      <c r="S710" s="94"/>
      <c r="T710" s="94"/>
      <c r="U710" s="94"/>
    </row>
    <row r="711" spans="1:21">
      <c r="A711" s="94"/>
      <c r="B711" s="94"/>
      <c r="C711" s="94"/>
      <c r="D711" s="94"/>
      <c r="E711" s="94"/>
      <c r="F711" s="94"/>
      <c r="G711" s="94"/>
      <c r="H711" s="94"/>
      <c r="I711" s="94"/>
      <c r="J711" s="94"/>
      <c r="K711" s="94"/>
      <c r="L711" s="94"/>
      <c r="M711" s="94"/>
      <c r="N711" s="94"/>
      <c r="O711" s="94"/>
      <c r="P711" s="94"/>
      <c r="Q711" s="94"/>
      <c r="R711" s="94"/>
      <c r="S711" s="94"/>
      <c r="T711" s="94"/>
      <c r="U711" s="94"/>
    </row>
    <row r="712" spans="1:21">
      <c r="A712" s="94"/>
      <c r="B712" s="94"/>
      <c r="C712" s="94"/>
      <c r="D712" s="94"/>
      <c r="E712" s="94"/>
      <c r="F712" s="94"/>
      <c r="G712" s="94"/>
      <c r="H712" s="94"/>
      <c r="I712" s="94"/>
      <c r="J712" s="94"/>
      <c r="K712" s="94"/>
      <c r="L712" s="94"/>
      <c r="M712" s="94"/>
      <c r="N712" s="94"/>
      <c r="O712" s="94"/>
      <c r="P712" s="94"/>
      <c r="Q712" s="94"/>
      <c r="R712" s="94"/>
      <c r="S712" s="94"/>
      <c r="T712" s="94"/>
      <c r="U712" s="94"/>
    </row>
    <row r="713" spans="1:21">
      <c r="A713" s="94"/>
      <c r="B713" s="94"/>
      <c r="C713" s="94"/>
      <c r="D713" s="94"/>
      <c r="E713" s="94"/>
      <c r="F713" s="94"/>
      <c r="G713" s="94"/>
      <c r="H713" s="94"/>
      <c r="I713" s="94"/>
      <c r="J713" s="94"/>
      <c r="K713" s="94"/>
      <c r="L713" s="94"/>
      <c r="M713" s="94"/>
      <c r="N713" s="94"/>
      <c r="O713" s="94"/>
      <c r="P713" s="94"/>
      <c r="Q713" s="94"/>
      <c r="R713" s="94"/>
      <c r="S713" s="94"/>
      <c r="T713" s="94"/>
      <c r="U713" s="94"/>
    </row>
    <row r="714" spans="1:21">
      <c r="A714" s="94"/>
      <c r="B714" s="94"/>
      <c r="C714" s="94"/>
      <c r="D714" s="94"/>
      <c r="E714" s="94"/>
      <c r="F714" s="94"/>
      <c r="G714" s="94"/>
      <c r="H714" s="94"/>
      <c r="I714" s="94"/>
      <c r="J714" s="94"/>
      <c r="K714" s="94"/>
      <c r="L714" s="94"/>
      <c r="M714" s="94"/>
      <c r="N714" s="94"/>
      <c r="O714" s="94"/>
      <c r="P714" s="94"/>
      <c r="Q714" s="94"/>
      <c r="R714" s="94"/>
      <c r="S714" s="94"/>
      <c r="T714" s="94"/>
      <c r="U714" s="94"/>
    </row>
    <row r="715" spans="1:21">
      <c r="A715" s="94"/>
      <c r="B715" s="94"/>
      <c r="C715" s="94"/>
      <c r="D715" s="94"/>
      <c r="E715" s="94"/>
      <c r="F715" s="94"/>
      <c r="G715" s="94"/>
      <c r="H715" s="94"/>
      <c r="I715" s="94"/>
      <c r="J715" s="94"/>
      <c r="K715" s="94"/>
      <c r="L715" s="94"/>
      <c r="M715" s="94"/>
      <c r="N715" s="94"/>
      <c r="O715" s="94"/>
      <c r="P715" s="94"/>
      <c r="Q715" s="94"/>
      <c r="R715" s="94"/>
      <c r="S715" s="94"/>
      <c r="T715" s="94"/>
      <c r="U715" s="94"/>
    </row>
    <row r="716" spans="1:21">
      <c r="A716" s="94"/>
      <c r="B716" s="94"/>
      <c r="C716" s="94"/>
      <c r="D716" s="94"/>
      <c r="E716" s="94"/>
      <c r="F716" s="94"/>
      <c r="G716" s="94"/>
      <c r="H716" s="94"/>
      <c r="I716" s="94"/>
      <c r="J716" s="94"/>
      <c r="K716" s="94"/>
      <c r="L716" s="94"/>
      <c r="M716" s="94"/>
      <c r="N716" s="94"/>
      <c r="O716" s="94"/>
      <c r="P716" s="94"/>
      <c r="Q716" s="94"/>
      <c r="R716" s="94"/>
      <c r="S716" s="94"/>
      <c r="T716" s="94"/>
      <c r="U716" s="94"/>
    </row>
    <row r="717" spans="1:21">
      <c r="A717" s="94"/>
      <c r="B717" s="94"/>
      <c r="C717" s="94"/>
      <c r="D717" s="94"/>
      <c r="E717" s="94"/>
      <c r="F717" s="94"/>
      <c r="G717" s="94"/>
      <c r="H717" s="94"/>
      <c r="I717" s="94"/>
      <c r="J717" s="94"/>
      <c r="K717" s="94"/>
      <c r="L717" s="94"/>
      <c r="M717" s="94"/>
      <c r="N717" s="94"/>
      <c r="O717" s="94"/>
      <c r="P717" s="94"/>
      <c r="Q717" s="94"/>
      <c r="R717" s="94"/>
      <c r="S717" s="94"/>
      <c r="T717" s="94"/>
      <c r="U717" s="94"/>
    </row>
    <row r="718" spans="1:21">
      <c r="A718" s="94"/>
      <c r="B718" s="94"/>
      <c r="C718" s="94"/>
      <c r="D718" s="94"/>
      <c r="E718" s="94"/>
      <c r="F718" s="94"/>
      <c r="G718" s="94"/>
      <c r="H718" s="94"/>
      <c r="I718" s="94"/>
      <c r="J718" s="94"/>
      <c r="K718" s="94"/>
      <c r="L718" s="94"/>
      <c r="M718" s="94"/>
      <c r="N718" s="94"/>
      <c r="O718" s="94"/>
      <c r="P718" s="94"/>
      <c r="Q718" s="94"/>
      <c r="R718" s="94"/>
      <c r="S718" s="94"/>
      <c r="T718" s="94"/>
      <c r="U718" s="94"/>
    </row>
    <row r="719" spans="1:21">
      <c r="A719" s="94"/>
      <c r="B719" s="94"/>
      <c r="C719" s="94"/>
      <c r="D719" s="94"/>
      <c r="E719" s="94"/>
      <c r="F719" s="94"/>
      <c r="G719" s="94"/>
      <c r="H719" s="94"/>
      <c r="I719" s="94"/>
      <c r="J719" s="94"/>
      <c r="K719" s="94"/>
      <c r="L719" s="94"/>
      <c r="M719" s="94"/>
      <c r="N719" s="94"/>
      <c r="O719" s="94"/>
      <c r="P719" s="94"/>
      <c r="Q719" s="94"/>
      <c r="R719" s="94"/>
      <c r="S719" s="94"/>
      <c r="T719" s="94"/>
      <c r="U719" s="94"/>
    </row>
    <row r="720" spans="1:21">
      <c r="A720" s="94"/>
      <c r="B720" s="94"/>
      <c r="C720" s="94"/>
      <c r="D720" s="94"/>
      <c r="E720" s="94"/>
      <c r="F720" s="94"/>
      <c r="G720" s="94"/>
      <c r="H720" s="94"/>
      <c r="I720" s="94"/>
      <c r="J720" s="94"/>
      <c r="K720" s="94"/>
      <c r="L720" s="94"/>
      <c r="M720" s="94"/>
      <c r="N720" s="94"/>
      <c r="O720" s="94"/>
      <c r="P720" s="94"/>
      <c r="Q720" s="94"/>
      <c r="R720" s="94"/>
      <c r="S720" s="94"/>
      <c r="T720" s="94"/>
      <c r="U720" s="94"/>
    </row>
    <row r="721" spans="1:21">
      <c r="A721" s="94"/>
      <c r="B721" s="94"/>
      <c r="C721" s="94"/>
      <c r="D721" s="94"/>
      <c r="E721" s="94"/>
      <c r="F721" s="94"/>
      <c r="G721" s="94"/>
      <c r="H721" s="94"/>
      <c r="I721" s="94"/>
      <c r="J721" s="94"/>
      <c r="K721" s="94"/>
      <c r="L721" s="94"/>
      <c r="M721" s="94"/>
      <c r="N721" s="94"/>
      <c r="O721" s="94"/>
      <c r="P721" s="94"/>
      <c r="Q721" s="94"/>
      <c r="R721" s="94"/>
      <c r="S721" s="94"/>
      <c r="T721" s="94"/>
      <c r="U721" s="94"/>
    </row>
    <row r="722" spans="1:21">
      <c r="A722" s="94"/>
      <c r="B722" s="94"/>
      <c r="C722" s="94"/>
      <c r="D722" s="94"/>
      <c r="E722" s="94"/>
      <c r="F722" s="94"/>
      <c r="G722" s="94"/>
      <c r="H722" s="94"/>
      <c r="I722" s="94"/>
      <c r="J722" s="94"/>
      <c r="K722" s="94"/>
      <c r="L722" s="94"/>
      <c r="M722" s="94"/>
      <c r="N722" s="94"/>
      <c r="O722" s="94"/>
      <c r="P722" s="94"/>
      <c r="Q722" s="94"/>
      <c r="R722" s="94"/>
      <c r="S722" s="94"/>
      <c r="T722" s="94"/>
      <c r="U722" s="94"/>
    </row>
    <row r="723" spans="1:21">
      <c r="A723" s="94"/>
      <c r="B723" s="94"/>
      <c r="C723" s="94"/>
      <c r="D723" s="94"/>
      <c r="E723" s="94"/>
      <c r="F723" s="94"/>
      <c r="G723" s="94"/>
      <c r="H723" s="94"/>
      <c r="I723" s="94"/>
      <c r="J723" s="94"/>
      <c r="K723" s="94"/>
      <c r="L723" s="94"/>
      <c r="M723" s="94"/>
      <c r="N723" s="94"/>
      <c r="O723" s="94"/>
      <c r="P723" s="94"/>
      <c r="Q723" s="94"/>
      <c r="R723" s="94"/>
      <c r="S723" s="94"/>
      <c r="T723" s="94"/>
      <c r="U723" s="94"/>
    </row>
    <row r="724" spans="1:21">
      <c r="A724" s="94"/>
      <c r="B724" s="94"/>
      <c r="C724" s="94"/>
      <c r="D724" s="94"/>
      <c r="E724" s="94"/>
      <c r="F724" s="94"/>
      <c r="G724" s="94"/>
      <c r="H724" s="94"/>
      <c r="I724" s="94"/>
      <c r="J724" s="94"/>
      <c r="K724" s="94"/>
      <c r="L724" s="94"/>
      <c r="M724" s="94"/>
      <c r="N724" s="94"/>
      <c r="O724" s="94"/>
      <c r="P724" s="94"/>
      <c r="Q724" s="94"/>
      <c r="R724" s="94"/>
      <c r="S724" s="94"/>
      <c r="T724" s="94"/>
      <c r="U724" s="94"/>
    </row>
    <row r="725" spans="1:21">
      <c r="A725" s="94"/>
      <c r="B725" s="94"/>
      <c r="C725" s="94"/>
      <c r="D725" s="94"/>
      <c r="E725" s="94"/>
      <c r="F725" s="94"/>
      <c r="G725" s="94"/>
      <c r="H725" s="94"/>
      <c r="I725" s="94"/>
      <c r="J725" s="94"/>
      <c r="K725" s="94"/>
      <c r="L725" s="94"/>
      <c r="M725" s="94"/>
      <c r="N725" s="94"/>
      <c r="O725" s="94"/>
      <c r="P725" s="94"/>
      <c r="Q725" s="94"/>
      <c r="R725" s="94"/>
      <c r="S725" s="94"/>
      <c r="T725" s="94"/>
      <c r="U725" s="94"/>
    </row>
    <row r="726" spans="1:21">
      <c r="A726" s="94"/>
      <c r="B726" s="94"/>
      <c r="C726" s="94"/>
      <c r="D726" s="94"/>
      <c r="E726" s="94"/>
      <c r="F726" s="94"/>
      <c r="G726" s="94"/>
      <c r="H726" s="94"/>
      <c r="I726" s="94"/>
      <c r="J726" s="94"/>
      <c r="K726" s="94"/>
      <c r="L726" s="94"/>
      <c r="M726" s="94"/>
      <c r="N726" s="94"/>
      <c r="O726" s="94"/>
      <c r="P726" s="94"/>
      <c r="Q726" s="94"/>
      <c r="R726" s="94"/>
      <c r="S726" s="94"/>
      <c r="T726" s="94"/>
      <c r="U726" s="94"/>
    </row>
    <row r="727" spans="1:21">
      <c r="A727" s="94"/>
      <c r="B727" s="94"/>
      <c r="C727" s="94"/>
      <c r="D727" s="94"/>
      <c r="E727" s="94"/>
      <c r="F727" s="94"/>
      <c r="G727" s="94"/>
      <c r="H727" s="94"/>
      <c r="I727" s="94"/>
      <c r="J727" s="94"/>
      <c r="K727" s="94"/>
      <c r="L727" s="94"/>
      <c r="M727" s="94"/>
      <c r="N727" s="94"/>
      <c r="O727" s="94"/>
      <c r="P727" s="94"/>
      <c r="Q727" s="94"/>
      <c r="R727" s="94"/>
      <c r="S727" s="94"/>
      <c r="T727" s="94"/>
      <c r="U727" s="94"/>
    </row>
    <row r="728" spans="1:21">
      <c r="A728" s="94"/>
      <c r="B728" s="94"/>
      <c r="C728" s="94"/>
      <c r="D728" s="94"/>
      <c r="E728" s="94"/>
      <c r="F728" s="94"/>
      <c r="G728" s="94"/>
      <c r="H728" s="94"/>
      <c r="I728" s="94"/>
      <c r="J728" s="94"/>
      <c r="K728" s="94"/>
      <c r="L728" s="94"/>
      <c r="M728" s="94"/>
      <c r="N728" s="94"/>
      <c r="O728" s="94"/>
      <c r="P728" s="94"/>
      <c r="Q728" s="94"/>
      <c r="R728" s="94"/>
      <c r="S728" s="94"/>
      <c r="T728" s="94"/>
      <c r="U728" s="94"/>
    </row>
    <row r="729" spans="1:21">
      <c r="A729" s="94"/>
      <c r="B729" s="94"/>
      <c r="C729" s="94"/>
      <c r="D729" s="94"/>
      <c r="E729" s="94"/>
      <c r="F729" s="94"/>
      <c r="G729" s="94"/>
      <c r="H729" s="94"/>
      <c r="I729" s="94"/>
      <c r="J729" s="94"/>
      <c r="K729" s="94"/>
      <c r="L729" s="94"/>
      <c r="M729" s="94"/>
      <c r="N729" s="94"/>
      <c r="O729" s="94"/>
      <c r="P729" s="94"/>
      <c r="Q729" s="94"/>
      <c r="R729" s="94"/>
      <c r="S729" s="94"/>
      <c r="T729" s="94"/>
      <c r="U729" s="94"/>
    </row>
    <row r="730" spans="1:21">
      <c r="A730" s="94"/>
      <c r="B730" s="94"/>
      <c r="C730" s="94"/>
      <c r="D730" s="94"/>
      <c r="E730" s="94"/>
      <c r="F730" s="94"/>
      <c r="G730" s="94"/>
      <c r="H730" s="94"/>
      <c r="I730" s="94"/>
      <c r="J730" s="94"/>
      <c r="K730" s="94"/>
      <c r="L730" s="94"/>
      <c r="M730" s="94"/>
      <c r="N730" s="94"/>
      <c r="O730" s="94"/>
      <c r="P730" s="94"/>
      <c r="Q730" s="94"/>
      <c r="R730" s="94"/>
      <c r="S730" s="94"/>
      <c r="T730" s="94"/>
      <c r="U730" s="94"/>
    </row>
    <row r="731" spans="1:21">
      <c r="A731" s="94"/>
      <c r="B731" s="94"/>
      <c r="C731" s="94"/>
      <c r="D731" s="94"/>
      <c r="E731" s="94"/>
      <c r="F731" s="94"/>
      <c r="G731" s="94"/>
      <c r="H731" s="94"/>
      <c r="I731" s="94"/>
      <c r="J731" s="94"/>
      <c r="K731" s="94"/>
      <c r="L731" s="94"/>
      <c r="M731" s="94"/>
      <c r="N731" s="94"/>
      <c r="O731" s="94"/>
      <c r="P731" s="94"/>
      <c r="Q731" s="94"/>
      <c r="R731" s="94"/>
      <c r="S731" s="94"/>
      <c r="T731" s="94"/>
      <c r="U731" s="94"/>
    </row>
    <row r="732" spans="1:21">
      <c r="A732" s="94"/>
      <c r="B732" s="94"/>
      <c r="C732" s="94"/>
      <c r="D732" s="94"/>
      <c r="E732" s="94"/>
      <c r="F732" s="94"/>
      <c r="G732" s="94"/>
      <c r="H732" s="94"/>
      <c r="I732" s="94"/>
      <c r="J732" s="94"/>
      <c r="K732" s="94"/>
      <c r="L732" s="94"/>
      <c r="M732" s="94"/>
      <c r="N732" s="94"/>
      <c r="O732" s="94"/>
      <c r="P732" s="94"/>
      <c r="Q732" s="94"/>
      <c r="R732" s="94"/>
      <c r="S732" s="94"/>
      <c r="T732" s="94"/>
      <c r="U732" s="94"/>
    </row>
    <row r="733" spans="1:21">
      <c r="A733" s="94"/>
      <c r="B733" s="94"/>
      <c r="C733" s="94"/>
      <c r="D733" s="94"/>
      <c r="E733" s="94"/>
      <c r="F733" s="94"/>
      <c r="G733" s="94"/>
      <c r="H733" s="94"/>
      <c r="I733" s="94"/>
      <c r="J733" s="94"/>
      <c r="K733" s="94"/>
      <c r="L733" s="94"/>
      <c r="M733" s="94"/>
      <c r="N733" s="94"/>
      <c r="O733" s="94"/>
      <c r="P733" s="94"/>
      <c r="Q733" s="94"/>
      <c r="R733" s="94"/>
      <c r="S733" s="94"/>
      <c r="T733" s="94"/>
      <c r="U733" s="94"/>
    </row>
    <row r="734" spans="1:21">
      <c r="A734" s="94"/>
      <c r="B734" s="94"/>
      <c r="C734" s="94"/>
      <c r="D734" s="94"/>
      <c r="E734" s="94"/>
      <c r="F734" s="94"/>
      <c r="G734" s="94"/>
      <c r="H734" s="94"/>
      <c r="I734" s="94"/>
      <c r="J734" s="94"/>
      <c r="K734" s="94"/>
      <c r="L734" s="94"/>
      <c r="M734" s="94"/>
      <c r="N734" s="94"/>
      <c r="O734" s="94"/>
      <c r="P734" s="94"/>
      <c r="Q734" s="94"/>
      <c r="R734" s="94"/>
      <c r="S734" s="94"/>
      <c r="T734" s="94"/>
      <c r="U734" s="94"/>
    </row>
    <row r="735" spans="1:21">
      <c r="A735" s="94"/>
      <c r="B735" s="94"/>
      <c r="C735" s="94"/>
      <c r="D735" s="94"/>
      <c r="E735" s="94"/>
      <c r="F735" s="94"/>
      <c r="G735" s="94"/>
      <c r="H735" s="94"/>
      <c r="I735" s="94"/>
      <c r="J735" s="94"/>
      <c r="K735" s="94"/>
      <c r="L735" s="94"/>
      <c r="M735" s="94"/>
      <c r="N735" s="94"/>
      <c r="O735" s="94"/>
      <c r="P735" s="94"/>
      <c r="Q735" s="94"/>
      <c r="R735" s="94"/>
      <c r="S735" s="94"/>
      <c r="T735" s="94"/>
      <c r="U735" s="94"/>
    </row>
    <row r="736" spans="1:21">
      <c r="A736" s="94"/>
      <c r="B736" s="94"/>
      <c r="C736" s="94"/>
      <c r="D736" s="94"/>
      <c r="E736" s="94"/>
      <c r="F736" s="94"/>
      <c r="G736" s="94"/>
      <c r="H736" s="94"/>
      <c r="I736" s="94"/>
      <c r="J736" s="94"/>
      <c r="K736" s="94"/>
      <c r="L736" s="94"/>
      <c r="M736" s="94"/>
      <c r="N736" s="94"/>
      <c r="O736" s="94"/>
      <c r="P736" s="94"/>
      <c r="Q736" s="94"/>
      <c r="R736" s="94"/>
      <c r="S736" s="94"/>
      <c r="T736" s="94"/>
      <c r="U736" s="94"/>
    </row>
    <row r="737" spans="1:21">
      <c r="A737" s="94"/>
      <c r="B737" s="94"/>
      <c r="C737" s="94"/>
      <c r="D737" s="94"/>
      <c r="E737" s="94"/>
      <c r="F737" s="94"/>
      <c r="G737" s="94"/>
      <c r="H737" s="94"/>
      <c r="I737" s="94"/>
      <c r="J737" s="94"/>
      <c r="K737" s="94"/>
      <c r="L737" s="94"/>
      <c r="M737" s="94"/>
      <c r="N737" s="94"/>
      <c r="O737" s="94"/>
      <c r="P737" s="94"/>
      <c r="Q737" s="94"/>
      <c r="R737" s="94"/>
      <c r="S737" s="94"/>
      <c r="T737" s="94"/>
      <c r="U737" s="94"/>
    </row>
    <row r="738" spans="1:21">
      <c r="A738" s="94"/>
      <c r="B738" s="94"/>
      <c r="C738" s="94"/>
      <c r="D738" s="94"/>
      <c r="E738" s="94"/>
      <c r="F738" s="94"/>
      <c r="G738" s="94"/>
      <c r="H738" s="94"/>
      <c r="I738" s="94"/>
      <c r="J738" s="94"/>
      <c r="K738" s="94"/>
      <c r="L738" s="94"/>
      <c r="M738" s="94"/>
      <c r="N738" s="94"/>
      <c r="O738" s="94"/>
      <c r="P738" s="94"/>
      <c r="Q738" s="94"/>
      <c r="R738" s="94"/>
      <c r="S738" s="94"/>
      <c r="T738" s="94"/>
      <c r="U738" s="94"/>
    </row>
    <row r="739" spans="1:21">
      <c r="A739" s="94"/>
      <c r="B739" s="94"/>
      <c r="C739" s="94"/>
      <c r="D739" s="94"/>
      <c r="E739" s="94"/>
      <c r="F739" s="94"/>
      <c r="G739" s="94"/>
      <c r="H739" s="94"/>
      <c r="I739" s="94"/>
      <c r="J739" s="94"/>
      <c r="K739" s="94"/>
      <c r="L739" s="94"/>
      <c r="M739" s="94"/>
      <c r="N739" s="94"/>
      <c r="O739" s="94"/>
      <c r="P739" s="94"/>
      <c r="Q739" s="94"/>
      <c r="R739" s="94"/>
      <c r="S739" s="94"/>
      <c r="T739" s="94"/>
      <c r="U739" s="94"/>
    </row>
    <row r="740" spans="1:21">
      <c r="A740" s="94"/>
      <c r="B740" s="94"/>
      <c r="C740" s="94"/>
      <c r="D740" s="94"/>
      <c r="E740" s="94"/>
      <c r="F740" s="94"/>
      <c r="G740" s="94"/>
      <c r="H740" s="94"/>
      <c r="I740" s="94"/>
      <c r="J740" s="94"/>
      <c r="K740" s="94"/>
      <c r="L740" s="94"/>
      <c r="M740" s="94"/>
      <c r="N740" s="94"/>
      <c r="O740" s="94"/>
      <c r="P740" s="94"/>
      <c r="Q740" s="94"/>
      <c r="R740" s="94"/>
      <c r="S740" s="94"/>
      <c r="T740" s="94"/>
      <c r="U740" s="94"/>
    </row>
    <row r="741" spans="1:21">
      <c r="A741" s="94"/>
      <c r="B741" s="94"/>
      <c r="C741" s="94"/>
      <c r="D741" s="94"/>
      <c r="E741" s="94"/>
      <c r="F741" s="94"/>
      <c r="G741" s="94"/>
      <c r="H741" s="94"/>
      <c r="I741" s="94"/>
      <c r="J741" s="94"/>
      <c r="K741" s="94"/>
      <c r="L741" s="94"/>
      <c r="M741" s="94"/>
      <c r="N741" s="94"/>
      <c r="O741" s="94"/>
      <c r="P741" s="94"/>
      <c r="Q741" s="94"/>
      <c r="R741" s="94"/>
      <c r="S741" s="94"/>
      <c r="T741" s="94"/>
      <c r="U741" s="94"/>
    </row>
    <row r="742" spans="1:21">
      <c r="A742" s="94"/>
      <c r="B742" s="94"/>
      <c r="C742" s="94"/>
      <c r="D742" s="94"/>
      <c r="E742" s="94"/>
      <c r="F742" s="94"/>
      <c r="G742" s="94"/>
      <c r="H742" s="94"/>
      <c r="I742" s="94"/>
      <c r="J742" s="94"/>
      <c r="K742" s="94"/>
      <c r="L742" s="94"/>
      <c r="M742" s="94"/>
      <c r="N742" s="94"/>
      <c r="O742" s="94"/>
      <c r="P742" s="94"/>
      <c r="Q742" s="94"/>
      <c r="R742" s="94"/>
      <c r="S742" s="94"/>
      <c r="T742" s="94"/>
      <c r="U742" s="94"/>
    </row>
    <row r="743" spans="1:21">
      <c r="A743" s="94"/>
      <c r="B743" s="94"/>
      <c r="C743" s="94"/>
      <c r="D743" s="94"/>
      <c r="E743" s="94"/>
      <c r="F743" s="94"/>
      <c r="G743" s="94"/>
      <c r="H743" s="94"/>
      <c r="I743" s="94"/>
      <c r="J743" s="94"/>
      <c r="K743" s="94"/>
      <c r="L743" s="94"/>
      <c r="M743" s="94"/>
      <c r="N743" s="94"/>
      <c r="O743" s="94"/>
      <c r="P743" s="94"/>
      <c r="Q743" s="94"/>
      <c r="R743" s="94"/>
      <c r="S743" s="94"/>
      <c r="T743" s="94"/>
      <c r="U743" s="94"/>
    </row>
    <row r="744" spans="1:21">
      <c r="A744" s="94"/>
      <c r="B744" s="94"/>
      <c r="C744" s="94"/>
      <c r="D744" s="94"/>
      <c r="E744" s="94"/>
      <c r="F744" s="94"/>
      <c r="G744" s="94"/>
      <c r="H744" s="94"/>
      <c r="I744" s="94"/>
      <c r="J744" s="94"/>
      <c r="K744" s="94"/>
      <c r="L744" s="94"/>
      <c r="M744" s="94"/>
      <c r="N744" s="94"/>
      <c r="O744" s="94"/>
      <c r="P744" s="94"/>
      <c r="Q744" s="94"/>
      <c r="R744" s="94"/>
      <c r="S744" s="94"/>
      <c r="T744" s="94"/>
      <c r="U744" s="94"/>
    </row>
    <row r="745" spans="1:21">
      <c r="A745" s="94"/>
      <c r="B745" s="94"/>
      <c r="C745" s="94"/>
      <c r="D745" s="94"/>
      <c r="E745" s="94"/>
      <c r="F745" s="94"/>
      <c r="G745" s="94"/>
      <c r="H745" s="94"/>
      <c r="I745" s="94"/>
      <c r="J745" s="94"/>
      <c r="K745" s="94"/>
      <c r="L745" s="94"/>
      <c r="M745" s="94"/>
      <c r="N745" s="94"/>
      <c r="O745" s="94"/>
      <c r="P745" s="94"/>
      <c r="Q745" s="94"/>
      <c r="R745" s="94"/>
      <c r="S745" s="94"/>
      <c r="T745" s="94"/>
      <c r="U745" s="94"/>
    </row>
    <row r="746" spans="1:21">
      <c r="A746" s="94"/>
      <c r="B746" s="94"/>
      <c r="C746" s="94"/>
      <c r="D746" s="94"/>
      <c r="E746" s="94"/>
      <c r="F746" s="94"/>
      <c r="G746" s="94"/>
      <c r="H746" s="94"/>
      <c r="I746" s="94"/>
      <c r="J746" s="94"/>
      <c r="K746" s="94"/>
      <c r="L746" s="94"/>
      <c r="M746" s="94"/>
      <c r="N746" s="94"/>
      <c r="O746" s="94"/>
      <c r="P746" s="94"/>
      <c r="Q746" s="94"/>
      <c r="R746" s="94"/>
      <c r="S746" s="94"/>
      <c r="T746" s="94"/>
      <c r="U746" s="94"/>
    </row>
    <row r="747" spans="1:21">
      <c r="A747" s="94"/>
      <c r="B747" s="94"/>
      <c r="C747" s="94"/>
      <c r="D747" s="94"/>
      <c r="E747" s="94"/>
      <c r="F747" s="94"/>
      <c r="G747" s="94"/>
      <c r="H747" s="94"/>
      <c r="I747" s="94"/>
      <c r="J747" s="94"/>
      <c r="K747" s="94"/>
      <c r="L747" s="94"/>
      <c r="M747" s="94"/>
      <c r="N747" s="94"/>
      <c r="O747" s="94"/>
      <c r="P747" s="94"/>
      <c r="Q747" s="94"/>
      <c r="R747" s="94"/>
      <c r="S747" s="94"/>
      <c r="T747" s="94"/>
      <c r="U747" s="94"/>
    </row>
    <row r="748" spans="1:21">
      <c r="A748" s="94"/>
      <c r="B748" s="94"/>
      <c r="C748" s="94"/>
      <c r="D748" s="94"/>
      <c r="E748" s="94"/>
      <c r="F748" s="94"/>
      <c r="G748" s="94"/>
      <c r="H748" s="94"/>
      <c r="I748" s="94"/>
      <c r="J748" s="94"/>
      <c r="K748" s="94"/>
      <c r="L748" s="94"/>
      <c r="M748" s="94"/>
      <c r="N748" s="94"/>
      <c r="O748" s="94"/>
      <c r="P748" s="94"/>
      <c r="Q748" s="94"/>
      <c r="R748" s="94"/>
      <c r="S748" s="94"/>
      <c r="T748" s="94"/>
      <c r="U748" s="94"/>
    </row>
    <row r="749" spans="1:21">
      <c r="A749" s="94"/>
      <c r="B749" s="94"/>
      <c r="C749" s="94"/>
      <c r="D749" s="94"/>
      <c r="E749" s="94"/>
      <c r="F749" s="94"/>
      <c r="G749" s="94"/>
      <c r="H749" s="94"/>
      <c r="I749" s="94"/>
      <c r="J749" s="94"/>
      <c r="K749" s="94"/>
      <c r="L749" s="94"/>
      <c r="M749" s="94"/>
      <c r="N749" s="94"/>
      <c r="O749" s="94"/>
      <c r="P749" s="94"/>
      <c r="Q749" s="94"/>
      <c r="R749" s="94"/>
      <c r="S749" s="94"/>
      <c r="T749" s="94"/>
      <c r="U749" s="94"/>
    </row>
    <row r="750" spans="1:21">
      <c r="A750" s="94"/>
      <c r="B750" s="94"/>
      <c r="C750" s="94"/>
      <c r="D750" s="94"/>
      <c r="E750" s="94"/>
      <c r="F750" s="94"/>
      <c r="G750" s="94"/>
      <c r="H750" s="94"/>
      <c r="I750" s="94"/>
      <c r="J750" s="94"/>
      <c r="K750" s="94"/>
      <c r="L750" s="94"/>
      <c r="M750" s="94"/>
      <c r="N750" s="94"/>
      <c r="O750" s="94"/>
      <c r="P750" s="94"/>
      <c r="Q750" s="94"/>
      <c r="R750" s="94"/>
      <c r="S750" s="94"/>
      <c r="T750" s="94"/>
      <c r="U750" s="94"/>
    </row>
    <row r="751" spans="1:21">
      <c r="A751" s="94"/>
      <c r="B751" s="94"/>
      <c r="C751" s="94"/>
      <c r="D751" s="94"/>
      <c r="E751" s="94"/>
      <c r="F751" s="94"/>
      <c r="G751" s="94"/>
      <c r="H751" s="94"/>
      <c r="I751" s="94"/>
      <c r="J751" s="94"/>
      <c r="K751" s="94"/>
      <c r="L751" s="94"/>
      <c r="M751" s="94"/>
      <c r="N751" s="94"/>
      <c r="O751" s="94"/>
      <c r="P751" s="94"/>
      <c r="Q751" s="94"/>
      <c r="R751" s="94"/>
      <c r="S751" s="94"/>
      <c r="T751" s="94"/>
      <c r="U751" s="94"/>
    </row>
    <row r="752" spans="1:21">
      <c r="A752" s="94"/>
      <c r="B752" s="94"/>
      <c r="C752" s="94"/>
      <c r="D752" s="94"/>
      <c r="E752" s="94"/>
      <c r="F752" s="94"/>
      <c r="G752" s="94"/>
      <c r="H752" s="94"/>
      <c r="I752" s="94"/>
      <c r="J752" s="94"/>
      <c r="K752" s="94"/>
      <c r="L752" s="94"/>
      <c r="M752" s="94"/>
      <c r="N752" s="94"/>
      <c r="O752" s="94"/>
      <c r="P752" s="94"/>
      <c r="Q752" s="94"/>
      <c r="R752" s="94"/>
      <c r="S752" s="94"/>
      <c r="T752" s="94"/>
      <c r="U752" s="94"/>
    </row>
    <row r="753" spans="1:21">
      <c r="A753" s="94"/>
      <c r="B753" s="94"/>
      <c r="C753" s="94"/>
      <c r="D753" s="94"/>
      <c r="E753" s="94"/>
      <c r="F753" s="94"/>
      <c r="G753" s="94"/>
      <c r="H753" s="94"/>
      <c r="I753" s="94"/>
      <c r="J753" s="94"/>
      <c r="K753" s="94"/>
      <c r="L753" s="94"/>
      <c r="M753" s="94"/>
      <c r="N753" s="94"/>
      <c r="O753" s="94"/>
      <c r="P753" s="94"/>
      <c r="Q753" s="94"/>
      <c r="R753" s="94"/>
      <c r="S753" s="94"/>
      <c r="T753" s="94"/>
      <c r="U753" s="94"/>
    </row>
    <row r="754" spans="1:21">
      <c r="A754" s="94"/>
      <c r="B754" s="94"/>
      <c r="C754" s="94"/>
      <c r="D754" s="94"/>
      <c r="E754" s="94"/>
      <c r="F754" s="94"/>
      <c r="G754" s="94"/>
      <c r="H754" s="94"/>
      <c r="I754" s="94"/>
      <c r="J754" s="94"/>
      <c r="K754" s="94"/>
      <c r="L754" s="94"/>
      <c r="M754" s="94"/>
      <c r="N754" s="94"/>
      <c r="O754" s="94"/>
      <c r="P754" s="94"/>
      <c r="Q754" s="94"/>
      <c r="R754" s="94"/>
      <c r="S754" s="94"/>
      <c r="T754" s="94"/>
      <c r="U754" s="94"/>
    </row>
    <row r="755" spans="1:21">
      <c r="A755" s="94"/>
      <c r="B755" s="94"/>
      <c r="C755" s="94"/>
      <c r="D755" s="94"/>
      <c r="E755" s="94"/>
      <c r="F755" s="94"/>
      <c r="G755" s="94"/>
      <c r="H755" s="94"/>
      <c r="I755" s="94"/>
      <c r="J755" s="94"/>
      <c r="K755" s="94"/>
      <c r="L755" s="94"/>
      <c r="M755" s="94"/>
      <c r="N755" s="94"/>
      <c r="O755" s="94"/>
      <c r="P755" s="94"/>
      <c r="Q755" s="94"/>
      <c r="R755" s="94"/>
      <c r="S755" s="94"/>
      <c r="T755" s="94"/>
      <c r="U755" s="94"/>
    </row>
    <row r="756" spans="1:21">
      <c r="A756" s="94"/>
      <c r="B756" s="94"/>
      <c r="C756" s="94"/>
      <c r="D756" s="94"/>
      <c r="E756" s="94"/>
      <c r="F756" s="94"/>
      <c r="G756" s="94"/>
      <c r="H756" s="94"/>
      <c r="I756" s="94"/>
      <c r="J756" s="94"/>
      <c r="K756" s="94"/>
      <c r="L756" s="94"/>
      <c r="M756" s="94"/>
      <c r="N756" s="94"/>
      <c r="O756" s="94"/>
      <c r="P756" s="94"/>
      <c r="Q756" s="94"/>
      <c r="R756" s="94"/>
      <c r="S756" s="94"/>
      <c r="T756" s="94"/>
      <c r="U756" s="94"/>
    </row>
    <row r="757" spans="1:21">
      <c r="A757" s="94"/>
      <c r="B757" s="94"/>
      <c r="C757" s="94"/>
      <c r="D757" s="94"/>
      <c r="E757" s="94"/>
      <c r="F757" s="94"/>
      <c r="G757" s="94"/>
      <c r="H757" s="94"/>
      <c r="I757" s="94"/>
      <c r="J757" s="94"/>
      <c r="K757" s="94"/>
      <c r="L757" s="94"/>
      <c r="M757" s="94"/>
      <c r="N757" s="94"/>
      <c r="O757" s="94"/>
      <c r="P757" s="94"/>
      <c r="Q757" s="94"/>
      <c r="R757" s="94"/>
      <c r="S757" s="94"/>
      <c r="T757" s="94"/>
      <c r="U757" s="94"/>
    </row>
    <row r="758" spans="1:21">
      <c r="A758" s="94"/>
      <c r="B758" s="94"/>
      <c r="C758" s="94"/>
      <c r="D758" s="94"/>
      <c r="E758" s="94"/>
      <c r="F758" s="94"/>
      <c r="G758" s="94"/>
      <c r="H758" s="94"/>
      <c r="I758" s="94"/>
      <c r="J758" s="94"/>
      <c r="K758" s="94"/>
      <c r="L758" s="94"/>
      <c r="M758" s="94"/>
      <c r="N758" s="94"/>
      <c r="O758" s="94"/>
      <c r="P758" s="94"/>
      <c r="Q758" s="94"/>
      <c r="R758" s="94"/>
      <c r="S758" s="94"/>
      <c r="T758" s="94"/>
      <c r="U758" s="94"/>
    </row>
    <row r="759" spans="1:21">
      <c r="A759" s="94"/>
      <c r="B759" s="94"/>
      <c r="C759" s="94"/>
      <c r="D759" s="94"/>
      <c r="E759" s="94"/>
      <c r="F759" s="94"/>
      <c r="G759" s="94"/>
      <c r="H759" s="94"/>
      <c r="I759" s="94"/>
      <c r="J759" s="94"/>
      <c r="K759" s="94"/>
      <c r="L759" s="94"/>
      <c r="M759" s="94"/>
      <c r="N759" s="94"/>
      <c r="O759" s="94"/>
      <c r="P759" s="94"/>
      <c r="Q759" s="94"/>
      <c r="R759" s="94"/>
      <c r="S759" s="94"/>
      <c r="T759" s="94"/>
      <c r="U759" s="94"/>
    </row>
    <row r="760" spans="1:21">
      <c r="A760" s="94"/>
      <c r="B760" s="94"/>
      <c r="C760" s="94"/>
      <c r="D760" s="94"/>
      <c r="E760" s="94"/>
      <c r="F760" s="94"/>
      <c r="G760" s="94"/>
      <c r="H760" s="94"/>
      <c r="I760" s="94"/>
      <c r="J760" s="94"/>
      <c r="K760" s="94"/>
      <c r="L760" s="94"/>
      <c r="M760" s="94"/>
      <c r="N760" s="94"/>
      <c r="O760" s="94"/>
      <c r="P760" s="94"/>
      <c r="Q760" s="94"/>
      <c r="R760" s="94"/>
      <c r="S760" s="94"/>
      <c r="T760" s="94"/>
      <c r="U760" s="94"/>
    </row>
    <row r="761" spans="1:21">
      <c r="A761" s="94"/>
      <c r="B761" s="94"/>
      <c r="C761" s="94"/>
      <c r="D761" s="94"/>
      <c r="E761" s="94"/>
      <c r="F761" s="94"/>
      <c r="G761" s="94"/>
      <c r="H761" s="94"/>
      <c r="I761" s="94"/>
      <c r="J761" s="94"/>
      <c r="K761" s="94"/>
      <c r="L761" s="94"/>
      <c r="M761" s="94"/>
      <c r="N761" s="94"/>
      <c r="O761" s="94"/>
      <c r="P761" s="94"/>
      <c r="Q761" s="94"/>
      <c r="R761" s="94"/>
      <c r="S761" s="94"/>
      <c r="T761" s="94"/>
      <c r="U761" s="94"/>
    </row>
    <row r="762" spans="1:21">
      <c r="A762" s="94"/>
      <c r="B762" s="94"/>
      <c r="C762" s="94"/>
      <c r="D762" s="94"/>
      <c r="E762" s="94"/>
      <c r="F762" s="94"/>
      <c r="G762" s="94"/>
      <c r="H762" s="94"/>
      <c r="I762" s="94"/>
      <c r="J762" s="94"/>
      <c r="K762" s="94"/>
      <c r="L762" s="94"/>
      <c r="M762" s="94"/>
      <c r="N762" s="94"/>
      <c r="O762" s="94"/>
      <c r="P762" s="94"/>
      <c r="Q762" s="94"/>
      <c r="R762" s="94"/>
      <c r="S762" s="94"/>
      <c r="T762" s="94"/>
      <c r="U762" s="94"/>
    </row>
    <row r="763" spans="1:21">
      <c r="A763" s="94"/>
      <c r="B763" s="94"/>
      <c r="C763" s="94"/>
      <c r="D763" s="94"/>
      <c r="E763" s="94"/>
      <c r="F763" s="94"/>
      <c r="G763" s="94"/>
      <c r="H763" s="94"/>
      <c r="I763" s="94"/>
      <c r="J763" s="94"/>
      <c r="K763" s="94"/>
      <c r="L763" s="94"/>
      <c r="M763" s="94"/>
      <c r="N763" s="94"/>
      <c r="O763" s="94"/>
      <c r="P763" s="94"/>
      <c r="Q763" s="94"/>
      <c r="R763" s="94"/>
      <c r="S763" s="94"/>
      <c r="T763" s="94"/>
      <c r="U763" s="94"/>
    </row>
    <row r="764" spans="1:21">
      <c r="A764" s="94"/>
      <c r="B764" s="94"/>
      <c r="C764" s="94"/>
      <c r="D764" s="94"/>
      <c r="E764" s="94"/>
      <c r="F764" s="94"/>
      <c r="G764" s="94"/>
      <c r="H764" s="94"/>
      <c r="I764" s="94"/>
      <c r="J764" s="94"/>
      <c r="K764" s="94"/>
      <c r="L764" s="94"/>
      <c r="M764" s="94"/>
      <c r="N764" s="94"/>
      <c r="O764" s="94"/>
      <c r="P764" s="94"/>
      <c r="Q764" s="94"/>
      <c r="R764" s="94"/>
      <c r="S764" s="94"/>
      <c r="T764" s="94"/>
      <c r="U764" s="94"/>
    </row>
    <row r="765" spans="1:21">
      <c r="A765" s="94"/>
      <c r="B765" s="94"/>
      <c r="C765" s="94"/>
      <c r="D765" s="94"/>
      <c r="E765" s="94"/>
      <c r="F765" s="94"/>
      <c r="G765" s="94"/>
      <c r="H765" s="94"/>
      <c r="I765" s="94"/>
      <c r="J765" s="94"/>
      <c r="K765" s="94"/>
      <c r="L765" s="94"/>
      <c r="M765" s="94"/>
      <c r="N765" s="94"/>
      <c r="O765" s="94"/>
      <c r="P765" s="94"/>
      <c r="Q765" s="94"/>
      <c r="R765" s="94"/>
      <c r="S765" s="94"/>
      <c r="T765" s="94"/>
      <c r="U765" s="94"/>
    </row>
    <row r="766" spans="1:21">
      <c r="A766" s="94"/>
      <c r="B766" s="94"/>
      <c r="C766" s="94"/>
      <c r="D766" s="94"/>
      <c r="E766" s="94"/>
      <c r="F766" s="94"/>
      <c r="G766" s="94"/>
      <c r="H766" s="94"/>
      <c r="I766" s="94"/>
      <c r="J766" s="94"/>
      <c r="K766" s="94"/>
      <c r="L766" s="94"/>
      <c r="M766" s="94"/>
      <c r="N766" s="94"/>
      <c r="O766" s="94"/>
      <c r="P766" s="94"/>
      <c r="Q766" s="94"/>
      <c r="R766" s="94"/>
      <c r="S766" s="94"/>
      <c r="T766" s="94"/>
      <c r="U766" s="94"/>
    </row>
    <row r="767" spans="1:21">
      <c r="A767" s="94"/>
      <c r="B767" s="94"/>
      <c r="C767" s="94"/>
      <c r="D767" s="94"/>
      <c r="E767" s="94"/>
      <c r="F767" s="94"/>
      <c r="G767" s="94"/>
      <c r="H767" s="94"/>
      <c r="I767" s="94"/>
      <c r="J767" s="94"/>
      <c r="K767" s="94"/>
      <c r="L767" s="94"/>
      <c r="M767" s="94"/>
      <c r="N767" s="94"/>
      <c r="O767" s="94"/>
      <c r="P767" s="94"/>
      <c r="Q767" s="94"/>
      <c r="R767" s="94"/>
      <c r="S767" s="94"/>
      <c r="T767" s="94"/>
      <c r="U767" s="94"/>
    </row>
    <row r="768" spans="1:21">
      <c r="A768" s="94"/>
      <c r="B768" s="94"/>
      <c r="C768" s="94"/>
      <c r="D768" s="94"/>
      <c r="E768" s="94"/>
      <c r="F768" s="94"/>
      <c r="G768" s="94"/>
      <c r="H768" s="94"/>
      <c r="I768" s="94"/>
      <c r="J768" s="94"/>
      <c r="K768" s="94"/>
      <c r="L768" s="94"/>
      <c r="M768" s="94"/>
      <c r="N768" s="94"/>
      <c r="O768" s="94"/>
      <c r="P768" s="94"/>
      <c r="Q768" s="94"/>
      <c r="R768" s="94"/>
      <c r="S768" s="94"/>
      <c r="T768" s="94"/>
      <c r="U768" s="94"/>
    </row>
    <row r="769" spans="1:21">
      <c r="A769" s="94"/>
      <c r="B769" s="94"/>
      <c r="C769" s="94"/>
      <c r="D769" s="94"/>
      <c r="E769" s="94"/>
      <c r="F769" s="94"/>
      <c r="G769" s="94"/>
      <c r="H769" s="94"/>
      <c r="I769" s="94"/>
      <c r="J769" s="94"/>
      <c r="K769" s="94"/>
      <c r="L769" s="94"/>
      <c r="M769" s="94"/>
      <c r="N769" s="94"/>
      <c r="O769" s="94"/>
      <c r="P769" s="94"/>
      <c r="Q769" s="94"/>
      <c r="R769" s="94"/>
      <c r="S769" s="94"/>
      <c r="T769" s="94"/>
      <c r="U769" s="94"/>
    </row>
    <row r="770" spans="1:21">
      <c r="A770" s="94"/>
      <c r="B770" s="94"/>
      <c r="C770" s="94"/>
      <c r="D770" s="94"/>
      <c r="E770" s="94"/>
      <c r="F770" s="94"/>
      <c r="G770" s="94"/>
      <c r="H770" s="94"/>
      <c r="I770" s="94"/>
      <c r="J770" s="94"/>
      <c r="K770" s="94"/>
      <c r="L770" s="94"/>
      <c r="M770" s="94"/>
      <c r="N770" s="94"/>
      <c r="O770" s="94"/>
      <c r="P770" s="94"/>
      <c r="Q770" s="94"/>
      <c r="R770" s="94"/>
      <c r="S770" s="94"/>
      <c r="T770" s="94"/>
      <c r="U770" s="94"/>
    </row>
    <row r="771" spans="1:21">
      <c r="A771" s="94"/>
      <c r="B771" s="94"/>
      <c r="C771" s="94"/>
      <c r="D771" s="94"/>
      <c r="E771" s="94"/>
      <c r="F771" s="94"/>
      <c r="G771" s="94"/>
      <c r="H771" s="94"/>
      <c r="I771" s="94"/>
      <c r="J771" s="94"/>
      <c r="K771" s="94"/>
      <c r="L771" s="94"/>
      <c r="M771" s="94"/>
      <c r="N771" s="94"/>
      <c r="O771" s="94"/>
      <c r="P771" s="94"/>
      <c r="Q771" s="94"/>
      <c r="R771" s="94"/>
      <c r="S771" s="94"/>
      <c r="T771" s="94"/>
      <c r="U771" s="94"/>
    </row>
    <row r="772" spans="1:21">
      <c r="A772" s="94"/>
      <c r="B772" s="94"/>
      <c r="C772" s="94"/>
      <c r="D772" s="94"/>
      <c r="E772" s="94"/>
      <c r="F772" s="94"/>
      <c r="G772" s="94"/>
      <c r="H772" s="94"/>
      <c r="I772" s="94"/>
      <c r="J772" s="94"/>
      <c r="K772" s="94"/>
      <c r="L772" s="94"/>
      <c r="M772" s="94"/>
      <c r="N772" s="94"/>
      <c r="O772" s="94"/>
      <c r="P772" s="94"/>
      <c r="Q772" s="94"/>
      <c r="R772" s="94"/>
      <c r="S772" s="94"/>
      <c r="T772" s="94"/>
      <c r="U772" s="94"/>
    </row>
    <row r="773" spans="1:21">
      <c r="A773" s="94"/>
      <c r="B773" s="94"/>
      <c r="C773" s="94"/>
      <c r="D773" s="94"/>
      <c r="E773" s="94"/>
      <c r="F773" s="94"/>
      <c r="G773" s="94"/>
      <c r="H773" s="94"/>
      <c r="I773" s="94"/>
      <c r="J773" s="94"/>
      <c r="K773" s="94"/>
      <c r="L773" s="94"/>
      <c r="M773" s="94"/>
      <c r="N773" s="94"/>
      <c r="O773" s="94"/>
      <c r="P773" s="94"/>
      <c r="Q773" s="94"/>
      <c r="R773" s="94"/>
      <c r="S773" s="94"/>
      <c r="T773" s="94"/>
      <c r="U773" s="94"/>
    </row>
    <row r="774" spans="1:21">
      <c r="A774" s="94"/>
      <c r="B774" s="94"/>
      <c r="C774" s="94"/>
      <c r="D774" s="94"/>
      <c r="E774" s="94"/>
      <c r="F774" s="94"/>
      <c r="G774" s="94"/>
      <c r="H774" s="94"/>
      <c r="I774" s="94"/>
      <c r="J774" s="94"/>
      <c r="K774" s="94"/>
      <c r="L774" s="94"/>
      <c r="M774" s="94"/>
      <c r="N774" s="94"/>
      <c r="O774" s="94"/>
      <c r="P774" s="94"/>
      <c r="Q774" s="94"/>
      <c r="R774" s="94"/>
      <c r="S774" s="94"/>
      <c r="T774" s="94"/>
      <c r="U774" s="94"/>
    </row>
    <row r="775" spans="1:21">
      <c r="A775" s="94"/>
      <c r="B775" s="94"/>
      <c r="C775" s="94"/>
      <c r="D775" s="94"/>
      <c r="E775" s="94"/>
      <c r="F775" s="94"/>
      <c r="G775" s="94"/>
      <c r="H775" s="94"/>
      <c r="I775" s="94"/>
      <c r="J775" s="94"/>
      <c r="K775" s="94"/>
      <c r="L775" s="94"/>
      <c r="M775" s="94"/>
      <c r="N775" s="94"/>
      <c r="O775" s="94"/>
      <c r="P775" s="94"/>
      <c r="Q775" s="94"/>
      <c r="R775" s="94"/>
      <c r="S775" s="94"/>
      <c r="T775" s="94"/>
      <c r="U775" s="94"/>
    </row>
    <row r="776" spans="1:21">
      <c r="A776" s="94"/>
      <c r="B776" s="94"/>
      <c r="C776" s="94"/>
      <c r="D776" s="94"/>
      <c r="E776" s="94"/>
      <c r="F776" s="94"/>
      <c r="G776" s="94"/>
      <c r="H776" s="94"/>
      <c r="I776" s="94"/>
      <c r="J776" s="94"/>
      <c r="K776" s="94"/>
      <c r="L776" s="94"/>
      <c r="M776" s="94"/>
      <c r="N776" s="94"/>
      <c r="O776" s="94"/>
      <c r="P776" s="94"/>
      <c r="Q776" s="94"/>
      <c r="R776" s="94"/>
      <c r="S776" s="94"/>
      <c r="T776" s="94"/>
      <c r="U776" s="94"/>
    </row>
    <row r="777" spans="1:21">
      <c r="A777" s="94"/>
      <c r="B777" s="94"/>
      <c r="C777" s="94"/>
      <c r="D777" s="94"/>
      <c r="E777" s="94"/>
      <c r="F777" s="94"/>
      <c r="G777" s="94"/>
      <c r="H777" s="94"/>
      <c r="I777" s="94"/>
      <c r="J777" s="94"/>
      <c r="K777" s="94"/>
      <c r="L777" s="94"/>
      <c r="M777" s="94"/>
      <c r="N777" s="94"/>
      <c r="O777" s="94"/>
      <c r="P777" s="94"/>
      <c r="Q777" s="94"/>
      <c r="R777" s="94"/>
      <c r="S777" s="94"/>
      <c r="T777" s="94"/>
      <c r="U777" s="94"/>
    </row>
    <row r="778" spans="1:21">
      <c r="A778" s="94"/>
      <c r="B778" s="94"/>
      <c r="C778" s="94"/>
      <c r="D778" s="94"/>
      <c r="E778" s="94"/>
      <c r="F778" s="94"/>
      <c r="G778" s="94"/>
      <c r="H778" s="94"/>
      <c r="I778" s="94"/>
      <c r="J778" s="94"/>
      <c r="K778" s="94"/>
      <c r="L778" s="94"/>
      <c r="M778" s="94"/>
      <c r="N778" s="94"/>
      <c r="O778" s="94"/>
      <c r="P778" s="94"/>
      <c r="Q778" s="94"/>
      <c r="R778" s="94"/>
      <c r="S778" s="94"/>
      <c r="T778" s="94"/>
      <c r="U778" s="94"/>
    </row>
    <row r="779" spans="1:21">
      <c r="A779" s="94"/>
      <c r="B779" s="94"/>
      <c r="C779" s="94"/>
      <c r="D779" s="94"/>
      <c r="E779" s="94"/>
      <c r="F779" s="94"/>
      <c r="G779" s="94"/>
      <c r="H779" s="94"/>
      <c r="I779" s="94"/>
      <c r="J779" s="94"/>
      <c r="K779" s="94"/>
      <c r="L779" s="94"/>
      <c r="M779" s="94"/>
      <c r="N779" s="94"/>
      <c r="O779" s="94"/>
      <c r="P779" s="94"/>
      <c r="Q779" s="94"/>
      <c r="R779" s="94"/>
      <c r="S779" s="94"/>
      <c r="T779" s="94"/>
      <c r="U779" s="94"/>
    </row>
    <row r="780" spans="1:21">
      <c r="A780" s="94"/>
      <c r="B780" s="94"/>
      <c r="C780" s="94"/>
      <c r="D780" s="94"/>
      <c r="E780" s="94"/>
      <c r="F780" s="94"/>
      <c r="G780" s="94"/>
      <c r="H780" s="94"/>
      <c r="I780" s="94"/>
      <c r="J780" s="94"/>
      <c r="K780" s="94"/>
      <c r="L780" s="94"/>
      <c r="M780" s="94"/>
      <c r="N780" s="94"/>
      <c r="O780" s="94"/>
      <c r="P780" s="94"/>
      <c r="Q780" s="94"/>
      <c r="R780" s="94"/>
      <c r="S780" s="94"/>
      <c r="T780" s="94"/>
      <c r="U780" s="94"/>
    </row>
    <row r="781" spans="1:21">
      <c r="A781" s="94"/>
      <c r="B781" s="94"/>
      <c r="C781" s="94"/>
      <c r="D781" s="94"/>
      <c r="E781" s="94"/>
      <c r="F781" s="94"/>
      <c r="G781" s="94"/>
      <c r="H781" s="94"/>
      <c r="I781" s="94"/>
      <c r="J781" s="94"/>
      <c r="K781" s="94"/>
      <c r="L781" s="94"/>
      <c r="M781" s="94"/>
      <c r="N781" s="94"/>
      <c r="O781" s="94"/>
      <c r="P781" s="94"/>
      <c r="Q781" s="94"/>
      <c r="R781" s="94"/>
      <c r="S781" s="94"/>
      <c r="T781" s="94"/>
      <c r="U781" s="94"/>
    </row>
    <row r="782" spans="1:21">
      <c r="A782" s="94"/>
      <c r="B782" s="94"/>
      <c r="C782" s="94"/>
      <c r="D782" s="94"/>
      <c r="E782" s="94"/>
      <c r="F782" s="94"/>
      <c r="G782" s="94"/>
      <c r="H782" s="94"/>
      <c r="I782" s="94"/>
      <c r="J782" s="94"/>
      <c r="K782" s="94"/>
      <c r="L782" s="94"/>
      <c r="M782" s="94"/>
      <c r="N782" s="94"/>
      <c r="O782" s="94"/>
      <c r="P782" s="94"/>
      <c r="Q782" s="94"/>
      <c r="R782" s="94"/>
      <c r="S782" s="94"/>
      <c r="T782" s="94"/>
      <c r="U782" s="94"/>
    </row>
    <row r="783" spans="1:21">
      <c r="A783" s="94"/>
      <c r="B783" s="94"/>
      <c r="C783" s="94"/>
      <c r="D783" s="94"/>
      <c r="E783" s="94"/>
      <c r="F783" s="94"/>
      <c r="G783" s="94"/>
      <c r="H783" s="94"/>
      <c r="I783" s="94"/>
      <c r="J783" s="94"/>
      <c r="K783" s="94"/>
      <c r="L783" s="94"/>
      <c r="M783" s="94"/>
      <c r="N783" s="94"/>
      <c r="O783" s="94"/>
      <c r="P783" s="94"/>
      <c r="Q783" s="94"/>
      <c r="R783" s="94"/>
      <c r="S783" s="94"/>
      <c r="T783" s="94"/>
      <c r="U783" s="94"/>
    </row>
    <row r="784" spans="1:21">
      <c r="A784" s="94"/>
      <c r="B784" s="94"/>
      <c r="C784" s="94"/>
      <c r="D784" s="94"/>
      <c r="E784" s="94"/>
      <c r="F784" s="94"/>
      <c r="G784" s="94"/>
      <c r="H784" s="94"/>
      <c r="I784" s="94"/>
      <c r="J784" s="94"/>
      <c r="K784" s="94"/>
      <c r="L784" s="94"/>
      <c r="M784" s="94"/>
      <c r="N784" s="94"/>
      <c r="O784" s="94"/>
      <c r="P784" s="94"/>
      <c r="Q784" s="94"/>
      <c r="R784" s="94"/>
      <c r="S784" s="94"/>
      <c r="T784" s="94"/>
      <c r="U784" s="94"/>
    </row>
    <row r="785" spans="1:21">
      <c r="A785" s="94"/>
      <c r="B785" s="94"/>
      <c r="C785" s="94"/>
      <c r="D785" s="94"/>
      <c r="E785" s="94"/>
      <c r="F785" s="94"/>
      <c r="G785" s="94"/>
      <c r="H785" s="94"/>
      <c r="I785" s="94"/>
      <c r="J785" s="94"/>
      <c r="K785" s="94"/>
      <c r="L785" s="94"/>
      <c r="M785" s="94"/>
      <c r="N785" s="94"/>
      <c r="O785" s="94"/>
      <c r="P785" s="94"/>
      <c r="Q785" s="94"/>
      <c r="R785" s="94"/>
      <c r="S785" s="94"/>
      <c r="T785" s="94"/>
      <c r="U785" s="94"/>
    </row>
    <row r="786" spans="1:21">
      <c r="A786" s="94"/>
      <c r="B786" s="94"/>
      <c r="C786" s="94"/>
      <c r="D786" s="94"/>
      <c r="E786" s="94"/>
      <c r="F786" s="94"/>
      <c r="G786" s="94"/>
      <c r="H786" s="94"/>
      <c r="I786" s="94"/>
      <c r="J786" s="94"/>
      <c r="K786" s="94"/>
      <c r="L786" s="94"/>
      <c r="M786" s="94"/>
      <c r="N786" s="94"/>
      <c r="O786" s="94"/>
      <c r="P786" s="94"/>
      <c r="Q786" s="94"/>
      <c r="R786" s="94"/>
      <c r="S786" s="94"/>
      <c r="T786" s="94"/>
      <c r="U786" s="94"/>
    </row>
    <row r="787" spans="1:21">
      <c r="A787" s="94"/>
      <c r="B787" s="94"/>
      <c r="C787" s="94"/>
      <c r="D787" s="94"/>
      <c r="E787" s="94"/>
      <c r="F787" s="94"/>
      <c r="G787" s="94"/>
      <c r="H787" s="94"/>
      <c r="I787" s="94"/>
      <c r="J787" s="94"/>
      <c r="K787" s="94"/>
      <c r="L787" s="94"/>
      <c r="M787" s="94"/>
      <c r="N787" s="94"/>
      <c r="O787" s="94"/>
      <c r="P787" s="94"/>
      <c r="Q787" s="94"/>
      <c r="R787" s="94"/>
      <c r="S787" s="94"/>
      <c r="T787" s="94"/>
      <c r="U787" s="94"/>
    </row>
    <row r="788" spans="1:21">
      <c r="A788" s="94"/>
      <c r="B788" s="94"/>
      <c r="C788" s="94"/>
      <c r="D788" s="94"/>
      <c r="E788" s="94"/>
      <c r="F788" s="94"/>
      <c r="G788" s="94"/>
      <c r="H788" s="94"/>
      <c r="I788" s="94"/>
      <c r="J788" s="94"/>
      <c r="K788" s="94"/>
      <c r="L788" s="94"/>
      <c r="M788" s="94"/>
      <c r="N788" s="94"/>
      <c r="O788" s="94"/>
      <c r="P788" s="94"/>
      <c r="Q788" s="94"/>
      <c r="R788" s="94"/>
      <c r="S788" s="94"/>
      <c r="T788" s="94"/>
      <c r="U788" s="94"/>
    </row>
    <row r="789" spans="1:21">
      <c r="A789" s="94"/>
      <c r="B789" s="94"/>
      <c r="C789" s="94"/>
      <c r="D789" s="94"/>
      <c r="E789" s="94"/>
      <c r="F789" s="94"/>
      <c r="G789" s="94"/>
      <c r="H789" s="94"/>
      <c r="I789" s="94"/>
      <c r="J789" s="94"/>
      <c r="K789" s="94"/>
      <c r="L789" s="94"/>
      <c r="M789" s="94"/>
      <c r="N789" s="94"/>
      <c r="O789" s="94"/>
      <c r="P789" s="94"/>
      <c r="Q789" s="94"/>
      <c r="R789" s="94"/>
      <c r="S789" s="94"/>
      <c r="T789" s="94"/>
      <c r="U789" s="94"/>
    </row>
    <row r="790" spans="1:21">
      <c r="A790" s="94"/>
      <c r="B790" s="94"/>
      <c r="C790" s="94"/>
      <c r="D790" s="94"/>
      <c r="E790" s="94"/>
      <c r="F790" s="94"/>
      <c r="G790" s="94"/>
      <c r="H790" s="94"/>
      <c r="I790" s="94"/>
      <c r="J790" s="94"/>
      <c r="K790" s="94"/>
      <c r="L790" s="94"/>
      <c r="M790" s="94"/>
      <c r="N790" s="94"/>
      <c r="O790" s="94"/>
      <c r="P790" s="94"/>
      <c r="Q790" s="94"/>
      <c r="R790" s="94"/>
      <c r="S790" s="94"/>
      <c r="T790" s="94"/>
      <c r="U790" s="94"/>
    </row>
    <row r="791" spans="1:21">
      <c r="A791" s="94"/>
      <c r="B791" s="94"/>
      <c r="C791" s="94"/>
      <c r="D791" s="94"/>
      <c r="E791" s="94"/>
      <c r="F791" s="94"/>
      <c r="G791" s="94"/>
      <c r="H791" s="94"/>
      <c r="I791" s="94"/>
      <c r="J791" s="94"/>
      <c r="K791" s="94"/>
      <c r="L791" s="94"/>
      <c r="M791" s="94"/>
      <c r="N791" s="94"/>
      <c r="O791" s="94"/>
      <c r="P791" s="94"/>
      <c r="Q791" s="94"/>
      <c r="R791" s="94"/>
      <c r="S791" s="94"/>
      <c r="T791" s="94"/>
      <c r="U791" s="94"/>
    </row>
    <row r="792" spans="1:21">
      <c r="A792" s="94"/>
      <c r="B792" s="94"/>
      <c r="C792" s="94"/>
      <c r="D792" s="94"/>
      <c r="E792" s="94"/>
      <c r="F792" s="94"/>
      <c r="G792" s="94"/>
      <c r="H792" s="94"/>
      <c r="I792" s="94"/>
      <c r="J792" s="94"/>
      <c r="K792" s="94"/>
      <c r="L792" s="94"/>
      <c r="M792" s="94"/>
      <c r="N792" s="94"/>
      <c r="O792" s="94"/>
      <c r="P792" s="94"/>
      <c r="Q792" s="94"/>
      <c r="R792" s="94"/>
      <c r="S792" s="94"/>
      <c r="T792" s="94"/>
      <c r="U792" s="94"/>
    </row>
    <row r="793" spans="1:21">
      <c r="A793" s="94"/>
      <c r="B793" s="94"/>
      <c r="C793" s="94"/>
      <c r="D793" s="94"/>
      <c r="E793" s="94"/>
      <c r="F793" s="94"/>
      <c r="G793" s="94"/>
      <c r="H793" s="94"/>
      <c r="I793" s="94"/>
      <c r="J793" s="94"/>
      <c r="K793" s="94"/>
      <c r="L793" s="94"/>
      <c r="M793" s="94"/>
      <c r="N793" s="94"/>
      <c r="O793" s="94"/>
      <c r="P793" s="94"/>
      <c r="Q793" s="94"/>
      <c r="R793" s="94"/>
      <c r="S793" s="94"/>
      <c r="T793" s="94"/>
      <c r="U793" s="94"/>
    </row>
    <row r="794" spans="1:21">
      <c r="A794" s="94"/>
      <c r="B794" s="94"/>
      <c r="C794" s="94"/>
      <c r="D794" s="94"/>
      <c r="E794" s="94"/>
      <c r="F794" s="94"/>
      <c r="G794" s="94"/>
      <c r="H794" s="94"/>
      <c r="I794" s="94"/>
      <c r="J794" s="94"/>
      <c r="K794" s="94"/>
      <c r="L794" s="94"/>
      <c r="M794" s="94"/>
      <c r="N794" s="94"/>
      <c r="O794" s="94"/>
      <c r="P794" s="94"/>
      <c r="Q794" s="94"/>
      <c r="R794" s="94"/>
      <c r="S794" s="94"/>
      <c r="T794" s="94"/>
      <c r="U794" s="94"/>
    </row>
    <row r="795" spans="1:21">
      <c r="A795" s="94"/>
      <c r="B795" s="94"/>
      <c r="C795" s="94"/>
      <c r="D795" s="94"/>
      <c r="E795" s="94"/>
      <c r="F795" s="94"/>
      <c r="G795" s="94"/>
      <c r="H795" s="94"/>
      <c r="I795" s="94"/>
      <c r="J795" s="94"/>
      <c r="K795" s="94"/>
      <c r="L795" s="94"/>
      <c r="M795" s="94"/>
      <c r="N795" s="94"/>
      <c r="O795" s="94"/>
      <c r="P795" s="94"/>
      <c r="Q795" s="94"/>
      <c r="R795" s="94"/>
      <c r="S795" s="94"/>
      <c r="T795" s="94"/>
      <c r="U795" s="94"/>
    </row>
    <row r="796" spans="1:21">
      <c r="A796" s="94"/>
      <c r="B796" s="94"/>
      <c r="C796" s="94"/>
      <c r="D796" s="94"/>
      <c r="E796" s="94"/>
      <c r="F796" s="94"/>
      <c r="G796" s="94"/>
      <c r="H796" s="94"/>
      <c r="I796" s="94"/>
      <c r="J796" s="94"/>
      <c r="K796" s="94"/>
      <c r="L796" s="94"/>
      <c r="M796" s="94"/>
      <c r="N796" s="94"/>
      <c r="O796" s="94"/>
      <c r="P796" s="94"/>
      <c r="Q796" s="94"/>
      <c r="R796" s="94"/>
      <c r="S796" s="94"/>
      <c r="T796" s="94"/>
      <c r="U796" s="94"/>
    </row>
    <row r="797" spans="1:21">
      <c r="A797" s="94"/>
      <c r="B797" s="94"/>
      <c r="C797" s="94"/>
      <c r="D797" s="94"/>
      <c r="E797" s="94"/>
      <c r="F797" s="94"/>
      <c r="G797" s="94"/>
      <c r="H797" s="94"/>
      <c r="I797" s="94"/>
      <c r="J797" s="94"/>
      <c r="K797" s="94"/>
      <c r="L797" s="94"/>
      <c r="M797" s="94"/>
      <c r="N797" s="94"/>
      <c r="O797" s="94"/>
      <c r="P797" s="94"/>
      <c r="Q797" s="94"/>
      <c r="R797" s="94"/>
      <c r="S797" s="94"/>
      <c r="T797" s="94"/>
      <c r="U797" s="94"/>
    </row>
    <row r="798" spans="1:21">
      <c r="A798" s="94"/>
      <c r="B798" s="94"/>
      <c r="C798" s="94"/>
      <c r="D798" s="94"/>
      <c r="E798" s="94"/>
      <c r="F798" s="94"/>
      <c r="G798" s="94"/>
      <c r="H798" s="94"/>
      <c r="I798" s="94"/>
      <c r="J798" s="94"/>
      <c r="K798" s="94"/>
      <c r="L798" s="94"/>
      <c r="M798" s="94"/>
      <c r="N798" s="94"/>
      <c r="O798" s="94"/>
      <c r="P798" s="94"/>
      <c r="Q798" s="94"/>
      <c r="R798" s="94"/>
      <c r="S798" s="94"/>
      <c r="T798" s="94"/>
      <c r="U798" s="94"/>
    </row>
    <row r="799" spans="1:21">
      <c r="A799" s="94"/>
      <c r="B799" s="94"/>
      <c r="C799" s="94"/>
      <c r="D799" s="94"/>
      <c r="E799" s="94"/>
      <c r="F799" s="94"/>
      <c r="G799" s="94"/>
      <c r="H799" s="94"/>
      <c r="I799" s="94"/>
      <c r="J799" s="94"/>
      <c r="K799" s="94"/>
      <c r="L799" s="94"/>
      <c r="M799" s="94"/>
      <c r="N799" s="94"/>
      <c r="O799" s="94"/>
      <c r="P799" s="94"/>
      <c r="Q799" s="94"/>
      <c r="R799" s="94"/>
      <c r="S799" s="94"/>
      <c r="T799" s="94"/>
      <c r="U799" s="94"/>
    </row>
    <row r="800" spans="1:21">
      <c r="A800" s="94"/>
      <c r="B800" s="94"/>
      <c r="C800" s="94"/>
      <c r="D800" s="94"/>
      <c r="E800" s="94"/>
      <c r="F800" s="94"/>
      <c r="G800" s="94"/>
      <c r="H800" s="94"/>
      <c r="I800" s="94"/>
      <c r="J800" s="94"/>
      <c r="K800" s="94"/>
      <c r="L800" s="94"/>
      <c r="M800" s="94"/>
      <c r="N800" s="94"/>
      <c r="O800" s="94"/>
      <c r="P800" s="94"/>
      <c r="Q800" s="94"/>
      <c r="R800" s="94"/>
      <c r="S800" s="94"/>
      <c r="T800" s="94"/>
      <c r="U800" s="94"/>
    </row>
    <row r="801" spans="1:21">
      <c r="A801" s="94"/>
      <c r="B801" s="94"/>
      <c r="C801" s="94"/>
      <c r="D801" s="94"/>
      <c r="E801" s="94"/>
      <c r="F801" s="94"/>
      <c r="G801" s="94"/>
      <c r="H801" s="94"/>
      <c r="I801" s="94"/>
      <c r="J801" s="94"/>
      <c r="K801" s="94"/>
      <c r="L801" s="94"/>
      <c r="M801" s="94"/>
      <c r="N801" s="94"/>
      <c r="O801" s="94"/>
      <c r="P801" s="94"/>
      <c r="Q801" s="94"/>
      <c r="R801" s="94"/>
      <c r="S801" s="94"/>
      <c r="T801" s="94"/>
      <c r="U801" s="94"/>
    </row>
    <row r="802" spans="1:21">
      <c r="A802" s="94"/>
      <c r="B802" s="94"/>
      <c r="C802" s="94"/>
      <c r="D802" s="94"/>
      <c r="E802" s="94"/>
      <c r="F802" s="94"/>
      <c r="G802" s="94"/>
      <c r="H802" s="94"/>
      <c r="I802" s="94"/>
      <c r="J802" s="94"/>
      <c r="K802" s="94"/>
      <c r="L802" s="94"/>
      <c r="M802" s="94"/>
      <c r="N802" s="94"/>
      <c r="O802" s="94"/>
      <c r="P802" s="94"/>
      <c r="Q802" s="94"/>
      <c r="R802" s="94"/>
      <c r="S802" s="94"/>
      <c r="T802" s="94"/>
      <c r="U802" s="94"/>
    </row>
    <row r="803" spans="1:21">
      <c r="A803" s="94"/>
      <c r="B803" s="94"/>
      <c r="C803" s="94"/>
      <c r="D803" s="94"/>
      <c r="E803" s="94"/>
      <c r="F803" s="94"/>
      <c r="G803" s="94"/>
      <c r="H803" s="94"/>
      <c r="I803" s="94"/>
      <c r="J803" s="94"/>
      <c r="K803" s="94"/>
      <c r="L803" s="94"/>
      <c r="M803" s="94"/>
      <c r="N803" s="94"/>
      <c r="O803" s="94"/>
      <c r="P803" s="94"/>
      <c r="Q803" s="94"/>
      <c r="R803" s="94"/>
      <c r="S803" s="94"/>
      <c r="T803" s="94"/>
      <c r="U803" s="94"/>
    </row>
    <row r="804" spans="1:21">
      <c r="A804" s="94"/>
      <c r="B804" s="94"/>
      <c r="C804" s="94"/>
      <c r="D804" s="94"/>
      <c r="E804" s="94"/>
      <c r="F804" s="94"/>
      <c r="G804" s="94"/>
      <c r="H804" s="94"/>
      <c r="I804" s="94"/>
      <c r="J804" s="94"/>
      <c r="K804" s="94"/>
      <c r="L804" s="94"/>
      <c r="M804" s="94"/>
      <c r="N804" s="94"/>
      <c r="O804" s="94"/>
      <c r="P804" s="94"/>
      <c r="Q804" s="94"/>
      <c r="R804" s="94"/>
      <c r="S804" s="94"/>
      <c r="T804" s="94"/>
      <c r="U804" s="94"/>
    </row>
    <row r="805" spans="1:21">
      <c r="A805" s="94"/>
      <c r="B805" s="94"/>
      <c r="C805" s="94"/>
      <c r="D805" s="94"/>
      <c r="E805" s="94"/>
      <c r="F805" s="94"/>
      <c r="G805" s="94"/>
      <c r="H805" s="94"/>
      <c r="I805" s="94"/>
      <c r="J805" s="94"/>
      <c r="K805" s="94"/>
      <c r="L805" s="94"/>
      <c r="M805" s="94"/>
      <c r="N805" s="94"/>
      <c r="O805" s="94"/>
      <c r="P805" s="94"/>
      <c r="Q805" s="94"/>
      <c r="R805" s="94"/>
      <c r="S805" s="94"/>
      <c r="T805" s="94"/>
      <c r="U805" s="94"/>
    </row>
    <row r="806" spans="1:21">
      <c r="A806" s="94"/>
      <c r="B806" s="94"/>
      <c r="C806" s="94"/>
      <c r="D806" s="94"/>
      <c r="E806" s="94"/>
      <c r="F806" s="94"/>
      <c r="G806" s="94"/>
      <c r="H806" s="94"/>
      <c r="I806" s="94"/>
      <c r="J806" s="94"/>
      <c r="K806" s="94"/>
      <c r="L806" s="94"/>
      <c r="M806" s="94"/>
      <c r="N806" s="94"/>
      <c r="O806" s="94"/>
      <c r="P806" s="94"/>
      <c r="Q806" s="94"/>
      <c r="R806" s="94"/>
      <c r="S806" s="94"/>
      <c r="T806" s="94"/>
      <c r="U806" s="94"/>
    </row>
    <row r="807" spans="1:21">
      <c r="A807" s="94"/>
      <c r="B807" s="94"/>
      <c r="C807" s="94"/>
      <c r="D807" s="94"/>
      <c r="E807" s="94"/>
      <c r="F807" s="94"/>
      <c r="G807" s="94"/>
      <c r="H807" s="94"/>
      <c r="I807" s="94"/>
      <c r="J807" s="94"/>
      <c r="K807" s="94"/>
      <c r="L807" s="94"/>
      <c r="M807" s="94"/>
      <c r="N807" s="94"/>
      <c r="O807" s="94"/>
      <c r="P807" s="94"/>
      <c r="Q807" s="94"/>
      <c r="R807" s="94"/>
      <c r="S807" s="94"/>
      <c r="T807" s="94"/>
      <c r="U807" s="94"/>
    </row>
    <row r="808" spans="1:21">
      <c r="A808" s="94"/>
      <c r="B808" s="94"/>
      <c r="C808" s="94"/>
      <c r="D808" s="94"/>
      <c r="E808" s="94"/>
      <c r="F808" s="94"/>
      <c r="G808" s="94"/>
      <c r="H808" s="94"/>
      <c r="I808" s="94"/>
      <c r="J808" s="94"/>
      <c r="K808" s="94"/>
      <c r="L808" s="94"/>
      <c r="M808" s="94"/>
      <c r="N808" s="94"/>
      <c r="O808" s="94"/>
      <c r="P808" s="94"/>
      <c r="Q808" s="94"/>
      <c r="R808" s="94"/>
      <c r="S808" s="94"/>
      <c r="T808" s="94"/>
      <c r="U808" s="94"/>
    </row>
    <row r="809" spans="1:21">
      <c r="A809" s="94"/>
      <c r="B809" s="94"/>
      <c r="C809" s="94"/>
      <c r="D809" s="94"/>
      <c r="E809" s="94"/>
      <c r="F809" s="94"/>
      <c r="G809" s="94"/>
      <c r="H809" s="94"/>
      <c r="I809" s="94"/>
      <c r="J809" s="94"/>
      <c r="K809" s="94"/>
      <c r="L809" s="94"/>
      <c r="M809" s="94"/>
      <c r="N809" s="94"/>
      <c r="O809" s="94"/>
      <c r="P809" s="94"/>
      <c r="Q809" s="94"/>
      <c r="R809" s="94"/>
      <c r="S809" s="94"/>
      <c r="T809" s="94"/>
      <c r="U809" s="94"/>
    </row>
    <row r="810" spans="1:21">
      <c r="A810" s="94"/>
      <c r="B810" s="94"/>
      <c r="C810" s="94"/>
      <c r="D810" s="94"/>
      <c r="E810" s="94"/>
      <c r="F810" s="94"/>
      <c r="G810" s="94"/>
      <c r="H810" s="94"/>
      <c r="I810" s="94"/>
      <c r="J810" s="94"/>
      <c r="K810" s="94"/>
      <c r="L810" s="94"/>
      <c r="M810" s="94"/>
      <c r="N810" s="94"/>
      <c r="O810" s="94"/>
      <c r="P810" s="94"/>
      <c r="Q810" s="94"/>
      <c r="R810" s="94"/>
      <c r="S810" s="94"/>
      <c r="T810" s="94"/>
      <c r="U810" s="94"/>
    </row>
    <row r="811" spans="1:21">
      <c r="A811" s="94"/>
      <c r="B811" s="94"/>
      <c r="C811" s="94"/>
      <c r="D811" s="94"/>
      <c r="E811" s="94"/>
      <c r="F811" s="94"/>
      <c r="G811" s="94"/>
      <c r="H811" s="94"/>
      <c r="I811" s="94"/>
      <c r="J811" s="94"/>
      <c r="K811" s="94"/>
      <c r="L811" s="94"/>
      <c r="M811" s="94"/>
      <c r="N811" s="94"/>
      <c r="O811" s="94"/>
      <c r="P811" s="94"/>
      <c r="Q811" s="94"/>
      <c r="R811" s="94"/>
      <c r="S811" s="94"/>
      <c r="T811" s="94"/>
      <c r="U811" s="94"/>
    </row>
    <row r="812" spans="1:21">
      <c r="A812" s="94"/>
      <c r="B812" s="94"/>
      <c r="C812" s="94"/>
      <c r="D812" s="94"/>
      <c r="E812" s="94"/>
      <c r="F812" s="94"/>
      <c r="G812" s="94"/>
      <c r="H812" s="94"/>
      <c r="I812" s="94"/>
      <c r="J812" s="94"/>
      <c r="K812" s="94"/>
      <c r="L812" s="94"/>
      <c r="M812" s="94"/>
      <c r="N812" s="94"/>
      <c r="O812" s="94"/>
      <c r="P812" s="94"/>
      <c r="Q812" s="94"/>
      <c r="R812" s="94"/>
      <c r="S812" s="94"/>
      <c r="T812" s="94"/>
      <c r="U812" s="94"/>
    </row>
    <row r="813" spans="1:21">
      <c r="A813" s="94"/>
      <c r="B813" s="94"/>
      <c r="C813" s="94"/>
      <c r="D813" s="94"/>
      <c r="E813" s="94"/>
      <c r="F813" s="94"/>
      <c r="G813" s="94"/>
      <c r="H813" s="94"/>
      <c r="I813" s="94"/>
      <c r="J813" s="94"/>
      <c r="K813" s="94"/>
      <c r="L813" s="94"/>
      <c r="M813" s="94"/>
      <c r="N813" s="94"/>
      <c r="O813" s="94"/>
      <c r="P813" s="94"/>
      <c r="Q813" s="94"/>
      <c r="R813" s="94"/>
      <c r="S813" s="94"/>
      <c r="T813" s="94"/>
      <c r="U813" s="94"/>
    </row>
    <row r="814" spans="1:21">
      <c r="A814" s="94"/>
      <c r="B814" s="94"/>
      <c r="C814" s="94"/>
      <c r="D814" s="94"/>
      <c r="E814" s="94"/>
      <c r="F814" s="94"/>
      <c r="G814" s="94"/>
      <c r="H814" s="94"/>
      <c r="I814" s="94"/>
      <c r="J814" s="94"/>
      <c r="K814" s="94"/>
      <c r="L814" s="94"/>
      <c r="M814" s="94"/>
      <c r="N814" s="94"/>
      <c r="O814" s="94"/>
      <c r="P814" s="94"/>
      <c r="Q814" s="94"/>
      <c r="R814" s="94"/>
      <c r="S814" s="94"/>
      <c r="T814" s="94"/>
      <c r="U814" s="94"/>
    </row>
    <row r="815" spans="1:21">
      <c r="A815" s="94"/>
      <c r="B815" s="94"/>
      <c r="C815" s="94"/>
      <c r="D815" s="94"/>
      <c r="E815" s="94"/>
      <c r="F815" s="94"/>
      <c r="G815" s="94"/>
      <c r="H815" s="94"/>
      <c r="I815" s="94"/>
      <c r="J815" s="94"/>
      <c r="K815" s="94"/>
      <c r="L815" s="94"/>
      <c r="M815" s="94"/>
      <c r="N815" s="94"/>
      <c r="O815" s="94"/>
      <c r="P815" s="94"/>
      <c r="Q815" s="94"/>
      <c r="R815" s="94"/>
      <c r="S815" s="94"/>
      <c r="T815" s="94"/>
      <c r="U815" s="94"/>
    </row>
    <row r="816" spans="1:21">
      <c r="A816" s="94"/>
      <c r="B816" s="94"/>
      <c r="C816" s="94"/>
      <c r="D816" s="94"/>
      <c r="E816" s="94"/>
      <c r="F816" s="94"/>
      <c r="G816" s="94"/>
      <c r="H816" s="94"/>
      <c r="I816" s="94"/>
      <c r="J816" s="94"/>
      <c r="K816" s="94"/>
      <c r="L816" s="94"/>
      <c r="M816" s="94"/>
      <c r="N816" s="94"/>
      <c r="O816" s="94"/>
      <c r="P816" s="94"/>
      <c r="Q816" s="94"/>
      <c r="R816" s="94"/>
      <c r="S816" s="94"/>
      <c r="T816" s="94"/>
      <c r="U816" s="94"/>
    </row>
    <row r="817" spans="1:21">
      <c r="A817" s="94"/>
      <c r="B817" s="94"/>
      <c r="C817" s="94"/>
      <c r="D817" s="94"/>
      <c r="E817" s="94"/>
      <c r="F817" s="94"/>
      <c r="G817" s="94"/>
      <c r="H817" s="94"/>
      <c r="I817" s="94"/>
      <c r="J817" s="94"/>
      <c r="K817" s="94"/>
      <c r="L817" s="94"/>
      <c r="M817" s="94"/>
      <c r="N817" s="94"/>
      <c r="O817" s="94"/>
      <c r="P817" s="94"/>
      <c r="Q817" s="94"/>
      <c r="R817" s="94"/>
      <c r="S817" s="94"/>
      <c r="T817" s="94"/>
      <c r="U817" s="94"/>
    </row>
    <row r="818" spans="1:21">
      <c r="A818" s="94"/>
      <c r="B818" s="94"/>
      <c r="C818" s="94"/>
      <c r="D818" s="94"/>
      <c r="E818" s="94"/>
      <c r="F818" s="94"/>
      <c r="G818" s="94"/>
      <c r="H818" s="94"/>
      <c r="I818" s="94"/>
      <c r="J818" s="94"/>
      <c r="K818" s="94"/>
      <c r="L818" s="94"/>
      <c r="M818" s="94"/>
      <c r="N818" s="94"/>
      <c r="O818" s="94"/>
      <c r="P818" s="94"/>
      <c r="Q818" s="94"/>
      <c r="R818" s="94"/>
      <c r="S818" s="94"/>
      <c r="T818" s="94"/>
      <c r="U818" s="94"/>
    </row>
    <row r="819" spans="1:21">
      <c r="A819" s="94"/>
      <c r="B819" s="94"/>
      <c r="C819" s="94"/>
      <c r="D819" s="94"/>
      <c r="E819" s="94"/>
      <c r="F819" s="94"/>
      <c r="G819" s="94"/>
      <c r="H819" s="94"/>
      <c r="I819" s="94"/>
      <c r="J819" s="94"/>
      <c r="K819" s="94"/>
      <c r="L819" s="94"/>
      <c r="M819" s="94"/>
      <c r="N819" s="94"/>
      <c r="O819" s="94"/>
      <c r="P819" s="94"/>
      <c r="Q819" s="94"/>
      <c r="R819" s="94"/>
      <c r="S819" s="94"/>
      <c r="T819" s="94"/>
      <c r="U819" s="94"/>
    </row>
    <row r="820" spans="1:21">
      <c r="A820" s="94"/>
      <c r="B820" s="94"/>
      <c r="C820" s="94"/>
      <c r="D820" s="94"/>
      <c r="E820" s="94"/>
      <c r="F820" s="94"/>
      <c r="G820" s="94"/>
      <c r="H820" s="94"/>
      <c r="I820" s="94"/>
      <c r="J820" s="94"/>
      <c r="K820" s="94"/>
      <c r="L820" s="94"/>
      <c r="M820" s="94"/>
      <c r="N820" s="94"/>
      <c r="O820" s="94"/>
      <c r="P820" s="94"/>
      <c r="Q820" s="94"/>
      <c r="R820" s="94"/>
      <c r="S820" s="94"/>
      <c r="T820" s="94"/>
      <c r="U820" s="94"/>
    </row>
    <row r="821" spans="1:21">
      <c r="A821" s="94"/>
      <c r="B821" s="94"/>
      <c r="C821" s="94"/>
      <c r="D821" s="94"/>
      <c r="E821" s="94"/>
      <c r="F821" s="94"/>
      <c r="G821" s="94"/>
      <c r="H821" s="94"/>
      <c r="I821" s="94"/>
      <c r="J821" s="94"/>
      <c r="K821" s="94"/>
      <c r="L821" s="94"/>
      <c r="M821" s="94"/>
      <c r="N821" s="94"/>
      <c r="O821" s="94"/>
      <c r="P821" s="94"/>
      <c r="Q821" s="94"/>
      <c r="R821" s="94"/>
      <c r="S821" s="94"/>
      <c r="T821" s="94"/>
      <c r="U821" s="94"/>
    </row>
    <row r="822" spans="1:21">
      <c r="A822" s="94"/>
      <c r="B822" s="94"/>
      <c r="C822" s="94"/>
      <c r="D822" s="94"/>
      <c r="E822" s="94"/>
      <c r="F822" s="94"/>
      <c r="G822" s="94"/>
      <c r="H822" s="94"/>
      <c r="I822" s="94"/>
      <c r="J822" s="94"/>
      <c r="K822" s="94"/>
      <c r="L822" s="94"/>
      <c r="M822" s="94"/>
      <c r="N822" s="94"/>
      <c r="O822" s="94"/>
      <c r="P822" s="94"/>
      <c r="Q822" s="94"/>
      <c r="R822" s="94"/>
      <c r="S822" s="94"/>
      <c r="T822" s="94"/>
      <c r="U822" s="94"/>
    </row>
    <row r="823" spans="1:21">
      <c r="A823" s="94"/>
      <c r="B823" s="94"/>
      <c r="C823" s="94"/>
      <c r="D823" s="94"/>
      <c r="E823" s="94"/>
      <c r="F823" s="94"/>
      <c r="G823" s="94"/>
      <c r="H823" s="94"/>
      <c r="I823" s="94"/>
      <c r="J823" s="94"/>
      <c r="K823" s="94"/>
      <c r="L823" s="94"/>
      <c r="M823" s="94"/>
      <c r="N823" s="94"/>
      <c r="O823" s="94"/>
      <c r="P823" s="94"/>
      <c r="Q823" s="94"/>
      <c r="R823" s="94"/>
      <c r="S823" s="94"/>
      <c r="T823" s="94"/>
      <c r="U823" s="94"/>
    </row>
    <row r="824" spans="1:21">
      <c r="A824" s="94"/>
      <c r="B824" s="94"/>
      <c r="C824" s="94"/>
      <c r="D824" s="94"/>
      <c r="E824" s="94"/>
      <c r="F824" s="94"/>
      <c r="G824" s="94"/>
      <c r="H824" s="94"/>
      <c r="I824" s="94"/>
      <c r="J824" s="94"/>
      <c r="K824" s="94"/>
      <c r="L824" s="94"/>
      <c r="M824" s="94"/>
      <c r="N824" s="94"/>
      <c r="O824" s="94"/>
      <c r="P824" s="94"/>
      <c r="Q824" s="94"/>
      <c r="R824" s="94"/>
      <c r="S824" s="94"/>
      <c r="T824" s="94"/>
      <c r="U824" s="94"/>
    </row>
    <row r="825" spans="1:21">
      <c r="A825" s="94"/>
      <c r="B825" s="94"/>
      <c r="C825" s="94"/>
      <c r="D825" s="94"/>
      <c r="E825" s="94"/>
      <c r="F825" s="94"/>
      <c r="G825" s="94"/>
      <c r="H825" s="94"/>
      <c r="I825" s="94"/>
      <c r="J825" s="94"/>
      <c r="K825" s="94"/>
      <c r="L825" s="94"/>
      <c r="M825" s="94"/>
      <c r="N825" s="94"/>
      <c r="O825" s="94"/>
      <c r="P825" s="94"/>
      <c r="Q825" s="94"/>
      <c r="R825" s="94"/>
      <c r="S825" s="94"/>
      <c r="T825" s="94"/>
      <c r="U825" s="94"/>
    </row>
    <row r="826" spans="1:21">
      <c r="A826" s="94"/>
      <c r="B826" s="94"/>
      <c r="C826" s="94"/>
      <c r="D826" s="94"/>
      <c r="E826" s="94"/>
      <c r="F826" s="94"/>
      <c r="G826" s="94"/>
      <c r="H826" s="94"/>
      <c r="I826" s="94"/>
      <c r="J826" s="94"/>
      <c r="K826" s="94"/>
      <c r="L826" s="94"/>
      <c r="M826" s="94"/>
      <c r="N826" s="94"/>
      <c r="O826" s="94"/>
      <c r="P826" s="94"/>
      <c r="Q826" s="94"/>
      <c r="R826" s="94"/>
      <c r="S826" s="94"/>
      <c r="T826" s="94"/>
      <c r="U826" s="94"/>
    </row>
    <row r="827" spans="1:21">
      <c r="A827" s="94"/>
      <c r="B827" s="94"/>
      <c r="C827" s="94"/>
      <c r="D827" s="94"/>
      <c r="E827" s="94"/>
      <c r="F827" s="94"/>
      <c r="G827" s="94"/>
      <c r="H827" s="94"/>
      <c r="I827" s="94"/>
      <c r="J827" s="94"/>
      <c r="K827" s="94"/>
      <c r="L827" s="94"/>
      <c r="M827" s="94"/>
      <c r="N827" s="94"/>
      <c r="O827" s="94"/>
      <c r="P827" s="94"/>
      <c r="Q827" s="94"/>
      <c r="R827" s="94"/>
      <c r="S827" s="94"/>
      <c r="T827" s="94"/>
      <c r="U827" s="94"/>
    </row>
    <row r="828" spans="1:21">
      <c r="A828" s="94"/>
      <c r="B828" s="94"/>
      <c r="C828" s="94"/>
      <c r="D828" s="94"/>
      <c r="E828" s="94"/>
      <c r="F828" s="94"/>
      <c r="G828" s="94"/>
      <c r="H828" s="94"/>
      <c r="I828" s="94"/>
      <c r="J828" s="94"/>
      <c r="K828" s="94"/>
      <c r="L828" s="94"/>
      <c r="M828" s="94"/>
      <c r="N828" s="94"/>
      <c r="O828" s="94"/>
      <c r="P828" s="94"/>
      <c r="Q828" s="94"/>
      <c r="R828" s="94"/>
      <c r="S828" s="94"/>
      <c r="T828" s="94"/>
      <c r="U828" s="94"/>
    </row>
    <row r="829" spans="1:21">
      <c r="A829" s="94"/>
      <c r="B829" s="94"/>
      <c r="C829" s="94"/>
      <c r="D829" s="94"/>
      <c r="E829" s="94"/>
      <c r="F829" s="94"/>
      <c r="G829" s="94"/>
      <c r="H829" s="94"/>
      <c r="I829" s="94"/>
      <c r="J829" s="94"/>
      <c r="K829" s="94"/>
      <c r="L829" s="94"/>
      <c r="M829" s="94"/>
      <c r="N829" s="94"/>
      <c r="O829" s="94"/>
      <c r="P829" s="94"/>
      <c r="Q829" s="94"/>
      <c r="R829" s="94"/>
      <c r="S829" s="94"/>
      <c r="T829" s="94"/>
      <c r="U829" s="94"/>
    </row>
    <row r="830" spans="1:21">
      <c r="A830" s="94"/>
      <c r="B830" s="94"/>
      <c r="C830" s="94"/>
      <c r="D830" s="94"/>
      <c r="E830" s="94"/>
      <c r="F830" s="94"/>
      <c r="G830" s="94"/>
      <c r="H830" s="94"/>
      <c r="I830" s="94"/>
      <c r="J830" s="94"/>
      <c r="K830" s="94"/>
      <c r="L830" s="94"/>
      <c r="M830" s="94"/>
      <c r="N830" s="94"/>
      <c r="O830" s="94"/>
      <c r="P830" s="94"/>
      <c r="Q830" s="94"/>
      <c r="R830" s="94"/>
      <c r="S830" s="94"/>
      <c r="T830" s="94"/>
      <c r="U830" s="94"/>
    </row>
    <row r="831" spans="1:21">
      <c r="A831" s="94"/>
      <c r="B831" s="94"/>
      <c r="C831" s="94"/>
      <c r="D831" s="94"/>
      <c r="E831" s="94"/>
      <c r="F831" s="94"/>
      <c r="G831" s="94"/>
      <c r="H831" s="94"/>
      <c r="I831" s="94"/>
      <c r="J831" s="94"/>
      <c r="K831" s="94"/>
      <c r="L831" s="94"/>
      <c r="M831" s="94"/>
      <c r="N831" s="94"/>
      <c r="O831" s="94"/>
      <c r="P831" s="94"/>
      <c r="Q831" s="94"/>
      <c r="R831" s="94"/>
      <c r="S831" s="94"/>
      <c r="T831" s="94"/>
      <c r="U831" s="94"/>
    </row>
    <row r="832" spans="1:21">
      <c r="A832" s="94"/>
      <c r="B832" s="94"/>
      <c r="C832" s="94"/>
      <c r="D832" s="94"/>
      <c r="E832" s="94"/>
      <c r="F832" s="94"/>
      <c r="G832" s="94"/>
      <c r="H832" s="94"/>
      <c r="I832" s="94"/>
      <c r="J832" s="94"/>
      <c r="K832" s="94"/>
      <c r="L832" s="94"/>
      <c r="M832" s="94"/>
      <c r="N832" s="94"/>
      <c r="O832" s="94"/>
      <c r="P832" s="94"/>
      <c r="Q832" s="94"/>
      <c r="R832" s="94"/>
      <c r="S832" s="94"/>
      <c r="T832" s="94"/>
      <c r="U832" s="94"/>
    </row>
    <row r="833" spans="1:21">
      <c r="A833" s="94"/>
      <c r="B833" s="94"/>
      <c r="C833" s="94"/>
      <c r="D833" s="94"/>
      <c r="E833" s="94"/>
      <c r="F833" s="94"/>
      <c r="G833" s="94"/>
      <c r="H833" s="94"/>
      <c r="I833" s="94"/>
      <c r="J833" s="94"/>
      <c r="K833" s="94"/>
      <c r="L833" s="94"/>
      <c r="M833" s="94"/>
      <c r="N833" s="94"/>
      <c r="O833" s="94"/>
      <c r="P833" s="94"/>
      <c r="Q833" s="94"/>
      <c r="R833" s="94"/>
      <c r="S833" s="94"/>
      <c r="T833" s="94"/>
      <c r="U833" s="94"/>
    </row>
    <row r="834" spans="1:21">
      <c r="A834" s="94"/>
      <c r="B834" s="94"/>
      <c r="C834" s="94"/>
      <c r="D834" s="94"/>
      <c r="E834" s="94"/>
      <c r="F834" s="94"/>
      <c r="G834" s="94"/>
      <c r="H834" s="94"/>
      <c r="I834" s="94"/>
      <c r="J834" s="94"/>
      <c r="K834" s="94"/>
      <c r="L834" s="94"/>
      <c r="M834" s="94"/>
      <c r="N834" s="94"/>
      <c r="O834" s="94"/>
      <c r="P834" s="94"/>
      <c r="Q834" s="94"/>
      <c r="R834" s="94"/>
      <c r="S834" s="94"/>
      <c r="T834" s="94"/>
      <c r="U834" s="94"/>
    </row>
    <row r="835" spans="1:21">
      <c r="A835" s="94"/>
      <c r="B835" s="94"/>
      <c r="C835" s="94"/>
      <c r="D835" s="94"/>
      <c r="E835" s="94"/>
      <c r="F835" s="94"/>
      <c r="G835" s="94"/>
      <c r="H835" s="94"/>
      <c r="I835" s="94"/>
      <c r="J835" s="94"/>
      <c r="K835" s="94"/>
      <c r="L835" s="94"/>
      <c r="M835" s="94"/>
      <c r="N835" s="94"/>
      <c r="O835" s="94"/>
      <c r="P835" s="94"/>
      <c r="Q835" s="94"/>
      <c r="R835" s="94"/>
      <c r="S835" s="94"/>
      <c r="T835" s="94"/>
      <c r="U835" s="94"/>
    </row>
    <row r="836" spans="1:21">
      <c r="A836" s="94"/>
      <c r="B836" s="94"/>
      <c r="C836" s="94"/>
      <c r="D836" s="94"/>
      <c r="E836" s="94"/>
      <c r="F836" s="94"/>
      <c r="G836" s="94"/>
      <c r="H836" s="94"/>
      <c r="I836" s="94"/>
      <c r="J836" s="94"/>
      <c r="K836" s="94"/>
      <c r="L836" s="94"/>
      <c r="M836" s="94"/>
      <c r="N836" s="94"/>
      <c r="O836" s="94"/>
      <c r="P836" s="94"/>
      <c r="Q836" s="94"/>
      <c r="R836" s="94"/>
      <c r="S836" s="94"/>
      <c r="T836" s="94"/>
      <c r="U836" s="94"/>
    </row>
    <row r="837" spans="1:21">
      <c r="A837" s="94"/>
      <c r="B837" s="94"/>
      <c r="C837" s="94"/>
      <c r="D837" s="94"/>
      <c r="E837" s="94"/>
      <c r="F837" s="94"/>
      <c r="G837" s="94"/>
      <c r="H837" s="94"/>
      <c r="I837" s="94"/>
      <c r="J837" s="94"/>
      <c r="K837" s="94"/>
      <c r="L837" s="94"/>
      <c r="M837" s="94"/>
      <c r="N837" s="94"/>
      <c r="O837" s="94"/>
      <c r="P837" s="94"/>
      <c r="Q837" s="94"/>
      <c r="R837" s="94"/>
      <c r="S837" s="94"/>
      <c r="T837" s="94"/>
      <c r="U837" s="94"/>
    </row>
    <row r="838" spans="1:21">
      <c r="A838" s="94"/>
      <c r="B838" s="94"/>
      <c r="C838" s="94"/>
      <c r="D838" s="94"/>
      <c r="E838" s="94"/>
      <c r="F838" s="94"/>
      <c r="G838" s="94"/>
      <c r="H838" s="94"/>
      <c r="I838" s="94"/>
      <c r="J838" s="94"/>
      <c r="K838" s="94"/>
      <c r="L838" s="94"/>
      <c r="M838" s="94"/>
      <c r="N838" s="94"/>
      <c r="O838" s="94"/>
      <c r="P838" s="94"/>
      <c r="Q838" s="94"/>
      <c r="R838" s="94"/>
      <c r="S838" s="94"/>
      <c r="T838" s="94"/>
      <c r="U838" s="94"/>
    </row>
    <row r="839" spans="1:21">
      <c r="A839" s="94"/>
      <c r="B839" s="94"/>
      <c r="C839" s="94"/>
      <c r="D839" s="94"/>
      <c r="E839" s="94"/>
      <c r="F839" s="94"/>
      <c r="G839" s="94"/>
      <c r="H839" s="94"/>
      <c r="I839" s="94"/>
      <c r="J839" s="94"/>
      <c r="K839" s="94"/>
      <c r="L839" s="94"/>
      <c r="M839" s="94"/>
      <c r="N839" s="94"/>
      <c r="O839" s="94"/>
      <c r="P839" s="94"/>
      <c r="Q839" s="94"/>
      <c r="R839" s="94"/>
      <c r="S839" s="94"/>
      <c r="T839" s="94"/>
      <c r="U839" s="94"/>
    </row>
    <row r="840" spans="1:21">
      <c r="A840" s="94"/>
      <c r="B840" s="94"/>
      <c r="C840" s="94"/>
      <c r="D840" s="94"/>
      <c r="E840" s="94"/>
      <c r="F840" s="94"/>
      <c r="G840" s="94"/>
      <c r="H840" s="94"/>
      <c r="I840" s="94"/>
      <c r="J840" s="94"/>
      <c r="K840" s="94"/>
      <c r="L840" s="94"/>
      <c r="M840" s="94"/>
      <c r="N840" s="94"/>
      <c r="O840" s="94"/>
      <c r="P840" s="94"/>
      <c r="Q840" s="94"/>
      <c r="R840" s="94"/>
      <c r="S840" s="94"/>
      <c r="T840" s="94"/>
      <c r="U840" s="94"/>
    </row>
    <row r="841" spans="1:21">
      <c r="A841" s="94"/>
      <c r="B841" s="94"/>
      <c r="C841" s="94"/>
      <c r="D841" s="94"/>
      <c r="E841" s="94"/>
      <c r="F841" s="94"/>
      <c r="G841" s="94"/>
      <c r="H841" s="94"/>
      <c r="I841" s="94"/>
      <c r="J841" s="94"/>
      <c r="K841" s="94"/>
      <c r="L841" s="94"/>
      <c r="M841" s="94"/>
      <c r="N841" s="94"/>
      <c r="O841" s="94"/>
      <c r="P841" s="94"/>
      <c r="Q841" s="94"/>
      <c r="R841" s="94"/>
      <c r="S841" s="94"/>
      <c r="T841" s="94"/>
      <c r="U841" s="94"/>
    </row>
    <row r="842" spans="1:21">
      <c r="A842" s="94"/>
      <c r="B842" s="94"/>
      <c r="C842" s="94"/>
      <c r="D842" s="94"/>
      <c r="E842" s="94"/>
      <c r="F842" s="94"/>
      <c r="G842" s="94"/>
      <c r="H842" s="94"/>
      <c r="I842" s="94"/>
      <c r="J842" s="94"/>
      <c r="K842" s="94"/>
      <c r="L842" s="94"/>
      <c r="M842" s="94"/>
      <c r="N842" s="94"/>
      <c r="O842" s="94"/>
      <c r="P842" s="94"/>
      <c r="Q842" s="94"/>
      <c r="R842" s="94"/>
      <c r="S842" s="94"/>
      <c r="T842" s="94"/>
      <c r="U842" s="94"/>
    </row>
    <row r="843" spans="1:21">
      <c r="A843" s="94"/>
      <c r="B843" s="94"/>
      <c r="C843" s="94"/>
      <c r="D843" s="94"/>
      <c r="E843" s="94"/>
      <c r="F843" s="94"/>
      <c r="G843" s="94"/>
      <c r="H843" s="94"/>
      <c r="I843" s="94"/>
      <c r="J843" s="94"/>
      <c r="K843" s="94"/>
      <c r="L843" s="94"/>
      <c r="M843" s="94"/>
      <c r="N843" s="94"/>
      <c r="O843" s="94"/>
      <c r="P843" s="94"/>
      <c r="Q843" s="94"/>
      <c r="R843" s="94"/>
      <c r="S843" s="94"/>
      <c r="T843" s="94"/>
      <c r="U843" s="94"/>
    </row>
    <row r="844" spans="1:21">
      <c r="A844" s="94"/>
      <c r="B844" s="94"/>
      <c r="C844" s="94"/>
      <c r="D844" s="94"/>
      <c r="E844" s="94"/>
      <c r="F844" s="94"/>
      <c r="G844" s="94"/>
      <c r="H844" s="94"/>
      <c r="I844" s="94"/>
      <c r="J844" s="94"/>
      <c r="K844" s="94"/>
      <c r="L844" s="94"/>
      <c r="M844" s="94"/>
      <c r="N844" s="94"/>
      <c r="O844" s="94"/>
      <c r="P844" s="94"/>
      <c r="Q844" s="94"/>
      <c r="R844" s="94"/>
      <c r="S844" s="94"/>
      <c r="T844" s="94"/>
      <c r="U844" s="94"/>
    </row>
    <row r="845" spans="1:21">
      <c r="A845" s="94"/>
      <c r="B845" s="94"/>
      <c r="C845" s="94"/>
      <c r="D845" s="94"/>
      <c r="E845" s="94"/>
      <c r="F845" s="94"/>
      <c r="G845" s="94"/>
      <c r="H845" s="94"/>
      <c r="I845" s="94"/>
      <c r="J845" s="94"/>
      <c r="K845" s="94"/>
      <c r="L845" s="94"/>
      <c r="M845" s="94"/>
      <c r="N845" s="94"/>
      <c r="O845" s="94"/>
      <c r="P845" s="94"/>
      <c r="Q845" s="94"/>
      <c r="R845" s="94"/>
      <c r="S845" s="94"/>
      <c r="T845" s="94"/>
      <c r="U845" s="94"/>
    </row>
    <row r="846" spans="1:21">
      <c r="A846" s="94"/>
      <c r="B846" s="94"/>
      <c r="C846" s="94"/>
      <c r="D846" s="94"/>
      <c r="E846" s="94"/>
      <c r="F846" s="94"/>
      <c r="G846" s="94"/>
      <c r="H846" s="94"/>
      <c r="I846" s="94"/>
      <c r="J846" s="94"/>
      <c r="K846" s="94"/>
      <c r="L846" s="94"/>
      <c r="M846" s="94"/>
      <c r="N846" s="94"/>
      <c r="O846" s="94"/>
      <c r="P846" s="94"/>
      <c r="Q846" s="94"/>
      <c r="R846" s="94"/>
      <c r="S846" s="94"/>
      <c r="T846" s="94"/>
      <c r="U846" s="94"/>
    </row>
    <row r="847" spans="1:21">
      <c r="A847" s="94"/>
      <c r="B847" s="94"/>
      <c r="C847" s="94"/>
      <c r="D847" s="94"/>
      <c r="E847" s="94"/>
      <c r="F847" s="94"/>
      <c r="G847" s="94"/>
      <c r="H847" s="94"/>
      <c r="I847" s="94"/>
      <c r="J847" s="94"/>
      <c r="K847" s="94"/>
      <c r="L847" s="94"/>
      <c r="M847" s="94"/>
      <c r="N847" s="94"/>
      <c r="O847" s="94"/>
      <c r="P847" s="94"/>
      <c r="Q847" s="94"/>
      <c r="R847" s="94"/>
      <c r="S847" s="94"/>
      <c r="T847" s="94"/>
      <c r="U847" s="94"/>
    </row>
    <row r="848" spans="1:21">
      <c r="A848" s="94"/>
      <c r="B848" s="94"/>
      <c r="C848" s="94"/>
      <c r="D848" s="94"/>
      <c r="E848" s="94"/>
      <c r="F848" s="94"/>
      <c r="G848" s="94"/>
      <c r="H848" s="94"/>
      <c r="I848" s="94"/>
      <c r="J848" s="94"/>
      <c r="K848" s="94"/>
      <c r="L848" s="94"/>
      <c r="M848" s="94"/>
      <c r="N848" s="94"/>
      <c r="O848" s="94"/>
      <c r="P848" s="94"/>
      <c r="Q848" s="94"/>
      <c r="R848" s="94"/>
      <c r="S848" s="94"/>
      <c r="T848" s="94"/>
      <c r="U848" s="94"/>
    </row>
    <row r="849" spans="1:21">
      <c r="A849" s="94"/>
      <c r="B849" s="94"/>
      <c r="C849" s="94"/>
      <c r="D849" s="94"/>
      <c r="E849" s="94"/>
      <c r="F849" s="94"/>
      <c r="G849" s="94"/>
      <c r="H849" s="94"/>
      <c r="I849" s="94"/>
      <c r="J849" s="94"/>
      <c r="K849" s="94"/>
      <c r="L849" s="94"/>
      <c r="M849" s="94"/>
      <c r="N849" s="94"/>
      <c r="O849" s="94"/>
      <c r="P849" s="94"/>
      <c r="Q849" s="94"/>
      <c r="R849" s="94"/>
      <c r="S849" s="94"/>
      <c r="T849" s="94"/>
      <c r="U849" s="94"/>
    </row>
    <row r="850" spans="1:21">
      <c r="A850" s="94"/>
      <c r="B850" s="94"/>
      <c r="C850" s="94"/>
      <c r="D850" s="94"/>
      <c r="E850" s="94"/>
      <c r="F850" s="94"/>
      <c r="G850" s="94"/>
      <c r="H850" s="94"/>
      <c r="I850" s="94"/>
      <c r="J850" s="94"/>
      <c r="K850" s="94"/>
      <c r="L850" s="94"/>
      <c r="M850" s="94"/>
      <c r="N850" s="94"/>
      <c r="O850" s="94"/>
      <c r="P850" s="94"/>
      <c r="Q850" s="94"/>
      <c r="R850" s="94"/>
      <c r="S850" s="94"/>
      <c r="T850" s="94"/>
      <c r="U850" s="94"/>
    </row>
    <row r="851" spans="1:21">
      <c r="A851" s="94"/>
      <c r="B851" s="94"/>
      <c r="C851" s="94"/>
      <c r="D851" s="94"/>
      <c r="E851" s="94"/>
      <c r="F851" s="94"/>
      <c r="G851" s="94"/>
      <c r="H851" s="94"/>
      <c r="I851" s="94"/>
      <c r="J851" s="94"/>
      <c r="K851" s="94"/>
      <c r="L851" s="94"/>
      <c r="M851" s="94"/>
      <c r="N851" s="94"/>
      <c r="O851" s="94"/>
      <c r="P851" s="94"/>
      <c r="Q851" s="94"/>
      <c r="R851" s="94"/>
      <c r="S851" s="94"/>
      <c r="T851" s="94"/>
      <c r="U851" s="94"/>
    </row>
    <row r="852" spans="1:21">
      <c r="A852" s="94"/>
      <c r="B852" s="94"/>
      <c r="C852" s="94"/>
      <c r="D852" s="94"/>
      <c r="E852" s="94"/>
      <c r="F852" s="94"/>
      <c r="G852" s="94"/>
      <c r="H852" s="94"/>
      <c r="I852" s="94"/>
      <c r="J852" s="94"/>
      <c r="K852" s="94"/>
      <c r="L852" s="94"/>
      <c r="M852" s="94"/>
      <c r="N852" s="94"/>
      <c r="O852" s="94"/>
      <c r="P852" s="94"/>
      <c r="Q852" s="94"/>
      <c r="R852" s="94"/>
      <c r="S852" s="94"/>
      <c r="T852" s="94"/>
      <c r="U852" s="94"/>
    </row>
    <row r="853" spans="1:21">
      <c r="A853" s="94"/>
      <c r="B853" s="94"/>
      <c r="C853" s="94"/>
      <c r="D853" s="94"/>
      <c r="E853" s="94"/>
      <c r="F853" s="94"/>
      <c r="G853" s="94"/>
      <c r="H853" s="94"/>
      <c r="I853" s="94"/>
      <c r="J853" s="94"/>
      <c r="K853" s="94"/>
      <c r="L853" s="94"/>
      <c r="M853" s="94"/>
      <c r="N853" s="94"/>
      <c r="O853" s="94"/>
      <c r="P853" s="94"/>
      <c r="Q853" s="94"/>
      <c r="R853" s="94"/>
      <c r="S853" s="94"/>
      <c r="T853" s="94"/>
      <c r="U853" s="94"/>
    </row>
    <row r="854" spans="1:21">
      <c r="A854" s="94"/>
      <c r="B854" s="94"/>
      <c r="C854" s="94"/>
      <c r="D854" s="94"/>
      <c r="E854" s="94"/>
      <c r="F854" s="94"/>
      <c r="G854" s="94"/>
      <c r="H854" s="94"/>
      <c r="I854" s="94"/>
      <c r="J854" s="94"/>
      <c r="K854" s="94"/>
      <c r="L854" s="94"/>
      <c r="M854" s="94"/>
      <c r="N854" s="94"/>
      <c r="O854" s="94"/>
      <c r="P854" s="94"/>
      <c r="Q854" s="94"/>
      <c r="R854" s="94"/>
      <c r="S854" s="94"/>
      <c r="T854" s="94"/>
      <c r="U854" s="94"/>
    </row>
    <row r="855" spans="1:21">
      <c r="A855" s="94"/>
      <c r="B855" s="94"/>
      <c r="C855" s="94"/>
      <c r="D855" s="94"/>
      <c r="E855" s="94"/>
      <c r="F855" s="94"/>
      <c r="G855" s="94"/>
      <c r="H855" s="94"/>
      <c r="I855" s="94"/>
      <c r="J855" s="94"/>
      <c r="K855" s="94"/>
      <c r="L855" s="94"/>
      <c r="M855" s="94"/>
      <c r="N855" s="94"/>
      <c r="O855" s="94"/>
      <c r="P855" s="94"/>
      <c r="Q855" s="94"/>
      <c r="R855" s="94"/>
      <c r="S855" s="94"/>
      <c r="T855" s="94"/>
      <c r="U855" s="94"/>
    </row>
    <row r="856" spans="1:21">
      <c r="A856" s="94"/>
      <c r="B856" s="94"/>
      <c r="C856" s="94"/>
      <c r="D856" s="94"/>
      <c r="E856" s="94"/>
      <c r="F856" s="94"/>
      <c r="G856" s="94"/>
      <c r="H856" s="94"/>
      <c r="I856" s="94"/>
      <c r="J856" s="94"/>
      <c r="K856" s="94"/>
      <c r="L856" s="94"/>
      <c r="M856" s="94"/>
      <c r="N856" s="94"/>
      <c r="O856" s="94"/>
      <c r="P856" s="94"/>
      <c r="Q856" s="94"/>
      <c r="R856" s="94"/>
      <c r="S856" s="94"/>
      <c r="T856" s="94"/>
      <c r="U856" s="94"/>
    </row>
    <row r="857" spans="1:21">
      <c r="A857" s="94"/>
      <c r="B857" s="94"/>
      <c r="C857" s="94"/>
      <c r="D857" s="94"/>
      <c r="E857" s="94"/>
      <c r="F857" s="94"/>
      <c r="G857" s="94"/>
      <c r="H857" s="94"/>
      <c r="I857" s="94"/>
      <c r="J857" s="94"/>
      <c r="K857" s="94"/>
      <c r="L857" s="94"/>
      <c r="M857" s="94"/>
      <c r="N857" s="94"/>
      <c r="O857" s="94"/>
      <c r="P857" s="94"/>
      <c r="Q857" s="94"/>
      <c r="R857" s="94"/>
      <c r="S857" s="94"/>
      <c r="T857" s="94"/>
      <c r="U857" s="94"/>
    </row>
    <row r="858" spans="1:21">
      <c r="A858" s="94"/>
      <c r="B858" s="94"/>
      <c r="C858" s="94"/>
      <c r="D858" s="94"/>
      <c r="E858" s="94"/>
      <c r="F858" s="94"/>
      <c r="G858" s="94"/>
      <c r="H858" s="94"/>
      <c r="I858" s="94"/>
      <c r="J858" s="94"/>
      <c r="K858" s="94"/>
      <c r="L858" s="94"/>
      <c r="M858" s="94"/>
      <c r="N858" s="94"/>
      <c r="O858" s="94"/>
      <c r="P858" s="94"/>
      <c r="Q858" s="94"/>
      <c r="R858" s="94"/>
      <c r="S858" s="94"/>
      <c r="T858" s="94"/>
      <c r="U858" s="94"/>
    </row>
    <row r="859" spans="1:21">
      <c r="A859" s="94"/>
      <c r="B859" s="94"/>
      <c r="C859" s="94"/>
      <c r="D859" s="94"/>
      <c r="E859" s="94"/>
      <c r="F859" s="94"/>
      <c r="G859" s="94"/>
      <c r="H859" s="94"/>
      <c r="I859" s="94"/>
      <c r="J859" s="94"/>
      <c r="K859" s="94"/>
      <c r="L859" s="94"/>
      <c r="M859" s="94"/>
      <c r="N859" s="94"/>
      <c r="O859" s="94"/>
      <c r="P859" s="94"/>
      <c r="Q859" s="94"/>
      <c r="R859" s="94"/>
      <c r="S859" s="94"/>
      <c r="T859" s="94"/>
      <c r="U859" s="94"/>
    </row>
    <row r="860" spans="1:21">
      <c r="A860" s="94"/>
      <c r="B860" s="94"/>
      <c r="C860" s="94"/>
      <c r="D860" s="94"/>
      <c r="E860" s="94"/>
      <c r="F860" s="94"/>
      <c r="G860" s="94"/>
      <c r="H860" s="94"/>
      <c r="I860" s="94"/>
      <c r="J860" s="94"/>
      <c r="K860" s="94"/>
      <c r="L860" s="94"/>
      <c r="M860" s="94"/>
      <c r="N860" s="94"/>
      <c r="O860" s="94"/>
      <c r="P860" s="94"/>
      <c r="Q860" s="94"/>
      <c r="R860" s="94"/>
      <c r="S860" s="94"/>
      <c r="T860" s="94"/>
      <c r="U860" s="94"/>
    </row>
    <row r="861" spans="1:21">
      <c r="A861" s="94"/>
      <c r="B861" s="94"/>
      <c r="C861" s="94"/>
      <c r="D861" s="94"/>
      <c r="E861" s="94"/>
      <c r="F861" s="94"/>
      <c r="G861" s="94"/>
      <c r="H861" s="94"/>
      <c r="I861" s="94"/>
      <c r="J861" s="94"/>
      <c r="K861" s="94"/>
      <c r="L861" s="94"/>
      <c r="M861" s="94"/>
      <c r="N861" s="94"/>
      <c r="O861" s="94"/>
      <c r="P861" s="94"/>
      <c r="Q861" s="94"/>
      <c r="R861" s="94"/>
      <c r="S861" s="94"/>
      <c r="T861" s="94"/>
      <c r="U861" s="94"/>
    </row>
    <row r="862" spans="1:21">
      <c r="A862" s="94"/>
      <c r="B862" s="94"/>
      <c r="C862" s="94"/>
      <c r="D862" s="94"/>
      <c r="E862" s="94"/>
      <c r="F862" s="94"/>
      <c r="G862" s="94"/>
      <c r="H862" s="94"/>
      <c r="I862" s="94"/>
      <c r="J862" s="94"/>
      <c r="K862" s="94"/>
      <c r="L862" s="94"/>
      <c r="M862" s="94"/>
      <c r="N862" s="94"/>
      <c r="O862" s="94"/>
      <c r="P862" s="94"/>
      <c r="Q862" s="94"/>
      <c r="R862" s="94"/>
      <c r="S862" s="94"/>
      <c r="T862" s="94"/>
      <c r="U862" s="94"/>
    </row>
    <row r="863" spans="1:21">
      <c r="A863" s="94"/>
      <c r="B863" s="94"/>
      <c r="C863" s="94"/>
      <c r="D863" s="94"/>
      <c r="E863" s="94"/>
      <c r="F863" s="94"/>
      <c r="G863" s="94"/>
      <c r="H863" s="94"/>
      <c r="I863" s="94"/>
      <c r="J863" s="94"/>
      <c r="K863" s="94"/>
      <c r="L863" s="94"/>
      <c r="M863" s="94"/>
      <c r="N863" s="94"/>
      <c r="O863" s="94"/>
      <c r="P863" s="94"/>
      <c r="Q863" s="94"/>
      <c r="R863" s="94"/>
      <c r="S863" s="94"/>
      <c r="T863" s="94"/>
      <c r="U863" s="94"/>
    </row>
    <row r="864" spans="1:21">
      <c r="A864" s="94"/>
      <c r="B864" s="94"/>
      <c r="C864" s="94"/>
      <c r="D864" s="94"/>
      <c r="E864" s="94"/>
      <c r="F864" s="94"/>
      <c r="G864" s="94"/>
      <c r="H864" s="94"/>
      <c r="I864" s="94"/>
      <c r="J864" s="94"/>
      <c r="K864" s="94"/>
      <c r="L864" s="94"/>
      <c r="M864" s="94"/>
      <c r="N864" s="94"/>
      <c r="O864" s="94"/>
      <c r="P864" s="94"/>
      <c r="Q864" s="94"/>
      <c r="R864" s="94"/>
      <c r="S864" s="94"/>
      <c r="T864" s="94"/>
      <c r="U864" s="94"/>
    </row>
    <row r="865" spans="1:21">
      <c r="A865" s="94"/>
      <c r="B865" s="94"/>
      <c r="C865" s="94"/>
      <c r="D865" s="94"/>
      <c r="E865" s="94"/>
      <c r="F865" s="94"/>
      <c r="G865" s="94"/>
      <c r="H865" s="94"/>
      <c r="I865" s="94"/>
      <c r="J865" s="94"/>
      <c r="K865" s="94"/>
      <c r="L865" s="94"/>
      <c r="M865" s="94"/>
      <c r="N865" s="94"/>
      <c r="O865" s="94"/>
      <c r="P865" s="94"/>
      <c r="Q865" s="94"/>
      <c r="R865" s="94"/>
      <c r="S865" s="94"/>
      <c r="T865" s="94"/>
      <c r="U865" s="94"/>
    </row>
    <row r="866" spans="1:21">
      <c r="A866" s="94"/>
      <c r="B866" s="94"/>
      <c r="C866" s="94"/>
      <c r="D866" s="94"/>
      <c r="E866" s="94"/>
      <c r="F866" s="94"/>
      <c r="G866" s="94"/>
      <c r="H866" s="94"/>
      <c r="I866" s="94"/>
      <c r="J866" s="94"/>
      <c r="K866" s="94"/>
      <c r="L866" s="94"/>
      <c r="M866" s="94"/>
      <c r="N866" s="94"/>
      <c r="O866" s="94"/>
      <c r="P866" s="94"/>
      <c r="Q866" s="94"/>
      <c r="R866" s="94"/>
      <c r="S866" s="94"/>
      <c r="T866" s="94"/>
      <c r="U866" s="94"/>
    </row>
    <row r="867" spans="1:21">
      <c r="A867" s="94"/>
      <c r="B867" s="94"/>
      <c r="C867" s="94"/>
      <c r="D867" s="94"/>
      <c r="E867" s="94"/>
      <c r="F867" s="94"/>
      <c r="G867" s="94"/>
      <c r="H867" s="94"/>
      <c r="I867" s="94"/>
      <c r="J867" s="94"/>
      <c r="K867" s="94"/>
      <c r="L867" s="94"/>
      <c r="M867" s="94"/>
      <c r="N867" s="94"/>
      <c r="O867" s="94"/>
      <c r="P867" s="94"/>
      <c r="Q867" s="94"/>
      <c r="R867" s="94"/>
      <c r="S867" s="94"/>
      <c r="T867" s="94"/>
      <c r="U867" s="94"/>
    </row>
    <row r="868" spans="1:21">
      <c r="A868" s="94"/>
      <c r="B868" s="94"/>
      <c r="C868" s="94"/>
      <c r="D868" s="94"/>
      <c r="E868" s="94"/>
      <c r="F868" s="94"/>
      <c r="G868" s="94"/>
      <c r="H868" s="94"/>
      <c r="I868" s="94"/>
      <c r="J868" s="94"/>
      <c r="K868" s="94"/>
      <c r="L868" s="94"/>
      <c r="M868" s="94"/>
      <c r="N868" s="94"/>
      <c r="O868" s="94"/>
      <c r="P868" s="94"/>
      <c r="Q868" s="94"/>
      <c r="R868" s="94"/>
      <c r="S868" s="94"/>
      <c r="T868" s="94"/>
      <c r="U868" s="94"/>
    </row>
    <row r="869" spans="1:21">
      <c r="A869" s="94"/>
      <c r="B869" s="94"/>
      <c r="C869" s="94"/>
      <c r="D869" s="94"/>
      <c r="E869" s="94"/>
      <c r="F869" s="94"/>
      <c r="G869" s="94"/>
      <c r="H869" s="94"/>
      <c r="I869" s="94"/>
      <c r="J869" s="94"/>
      <c r="K869" s="94"/>
      <c r="L869" s="94"/>
      <c r="M869" s="94"/>
      <c r="N869" s="94"/>
      <c r="O869" s="94"/>
      <c r="P869" s="94"/>
      <c r="Q869" s="94"/>
      <c r="R869" s="94"/>
      <c r="S869" s="94"/>
      <c r="T869" s="94"/>
      <c r="U869" s="94"/>
    </row>
    <row r="870" spans="1:21">
      <c r="A870" s="94"/>
      <c r="B870" s="94"/>
      <c r="C870" s="94"/>
      <c r="D870" s="94"/>
      <c r="E870" s="94"/>
      <c r="F870" s="94"/>
      <c r="G870" s="94"/>
      <c r="H870" s="94"/>
      <c r="I870" s="94"/>
      <c r="J870" s="94"/>
      <c r="K870" s="94"/>
      <c r="L870" s="94"/>
      <c r="M870" s="94"/>
      <c r="N870" s="94"/>
      <c r="O870" s="94"/>
      <c r="P870" s="94"/>
      <c r="Q870" s="94"/>
      <c r="R870" s="94"/>
      <c r="S870" s="94"/>
      <c r="T870" s="94"/>
      <c r="U870" s="94"/>
    </row>
    <row r="871" spans="1:21">
      <c r="A871" s="94"/>
      <c r="B871" s="94"/>
      <c r="C871" s="94"/>
      <c r="D871" s="94"/>
      <c r="E871" s="94"/>
      <c r="F871" s="94"/>
      <c r="G871" s="94"/>
      <c r="H871" s="94"/>
      <c r="I871" s="94"/>
      <c r="J871" s="94"/>
      <c r="K871" s="94"/>
      <c r="L871" s="94"/>
      <c r="M871" s="94"/>
      <c r="N871" s="94"/>
      <c r="O871" s="94"/>
      <c r="P871" s="94"/>
      <c r="Q871" s="94"/>
      <c r="R871" s="94"/>
      <c r="S871" s="94"/>
      <c r="T871" s="94"/>
      <c r="U871" s="94"/>
    </row>
    <row r="872" spans="1:21">
      <c r="A872" s="94"/>
      <c r="B872" s="94"/>
      <c r="C872" s="94"/>
      <c r="D872" s="94"/>
      <c r="E872" s="94"/>
      <c r="F872" s="94"/>
      <c r="G872" s="94"/>
      <c r="H872" s="94"/>
      <c r="I872" s="94"/>
      <c r="J872" s="94"/>
      <c r="K872" s="94"/>
      <c r="L872" s="94"/>
      <c r="M872" s="94"/>
      <c r="N872" s="94"/>
      <c r="O872" s="94"/>
      <c r="P872" s="94"/>
      <c r="Q872" s="94"/>
      <c r="R872" s="94"/>
      <c r="S872" s="94"/>
      <c r="T872" s="94"/>
      <c r="U872" s="94"/>
    </row>
    <row r="873" spans="1:21">
      <c r="A873" s="94"/>
      <c r="B873" s="94"/>
      <c r="C873" s="94"/>
      <c r="D873" s="94"/>
      <c r="E873" s="94"/>
      <c r="F873" s="94"/>
      <c r="G873" s="94"/>
      <c r="H873" s="94"/>
      <c r="I873" s="94"/>
      <c r="J873" s="94"/>
      <c r="K873" s="94"/>
      <c r="L873" s="94"/>
      <c r="M873" s="94"/>
      <c r="N873" s="94"/>
      <c r="O873" s="94"/>
      <c r="P873" s="94"/>
      <c r="Q873" s="94"/>
      <c r="R873" s="94"/>
      <c r="S873" s="94"/>
      <c r="T873" s="94"/>
      <c r="U873" s="94"/>
    </row>
    <row r="874" spans="1:21">
      <c r="A874" s="94"/>
      <c r="B874" s="94"/>
      <c r="C874" s="94"/>
      <c r="D874" s="94"/>
      <c r="E874" s="94"/>
      <c r="F874" s="94"/>
      <c r="G874" s="94"/>
      <c r="H874" s="94"/>
      <c r="I874" s="94"/>
      <c r="J874" s="94"/>
      <c r="K874" s="94"/>
      <c r="L874" s="94"/>
      <c r="M874" s="94"/>
      <c r="N874" s="94"/>
      <c r="O874" s="94"/>
      <c r="P874" s="94"/>
      <c r="Q874" s="94"/>
      <c r="R874" s="94"/>
      <c r="S874" s="94"/>
      <c r="T874" s="94"/>
      <c r="U874" s="94"/>
    </row>
    <row r="875" spans="1:21">
      <c r="A875" s="94"/>
      <c r="B875" s="94"/>
      <c r="C875" s="94"/>
      <c r="D875" s="94"/>
      <c r="E875" s="94"/>
      <c r="F875" s="94"/>
      <c r="G875" s="94"/>
      <c r="H875" s="94"/>
      <c r="I875" s="94"/>
      <c r="J875" s="94"/>
      <c r="K875" s="94"/>
      <c r="L875" s="94"/>
      <c r="M875" s="94"/>
      <c r="N875" s="94"/>
      <c r="O875" s="94"/>
      <c r="P875" s="94"/>
      <c r="Q875" s="94"/>
      <c r="R875" s="94"/>
      <c r="S875" s="94"/>
      <c r="T875" s="94"/>
      <c r="U875" s="94"/>
    </row>
    <row r="876" spans="1:21">
      <c r="A876" s="94"/>
      <c r="B876" s="94"/>
      <c r="C876" s="94"/>
      <c r="D876" s="94"/>
      <c r="E876" s="94"/>
      <c r="F876" s="94"/>
      <c r="G876" s="94"/>
      <c r="H876" s="94"/>
      <c r="I876" s="94"/>
      <c r="J876" s="94"/>
      <c r="K876" s="94"/>
      <c r="L876" s="94"/>
      <c r="M876" s="94"/>
      <c r="N876" s="94"/>
      <c r="O876" s="94"/>
      <c r="P876" s="94"/>
      <c r="Q876" s="94"/>
      <c r="R876" s="94"/>
      <c r="S876" s="94"/>
      <c r="T876" s="94"/>
      <c r="U876" s="94"/>
    </row>
    <row r="877" spans="1:21">
      <c r="A877" s="94"/>
      <c r="B877" s="94"/>
      <c r="C877" s="94"/>
      <c r="D877" s="94"/>
      <c r="E877" s="94"/>
      <c r="F877" s="94"/>
      <c r="G877" s="94"/>
      <c r="H877" s="94"/>
      <c r="I877" s="94"/>
      <c r="J877" s="94"/>
      <c r="K877" s="94"/>
      <c r="L877" s="94"/>
      <c r="M877" s="94"/>
      <c r="N877" s="94"/>
      <c r="O877" s="94"/>
      <c r="P877" s="94"/>
      <c r="Q877" s="94"/>
      <c r="R877" s="94"/>
      <c r="S877" s="94"/>
      <c r="T877" s="94"/>
      <c r="U877" s="94"/>
    </row>
    <row r="878" spans="1:21">
      <c r="A878" s="94"/>
      <c r="B878" s="94"/>
      <c r="C878" s="94"/>
      <c r="D878" s="94"/>
      <c r="E878" s="94"/>
      <c r="F878" s="94"/>
      <c r="G878" s="94"/>
      <c r="H878" s="94"/>
      <c r="I878" s="94"/>
      <c r="J878" s="94"/>
      <c r="K878" s="94"/>
      <c r="L878" s="94"/>
      <c r="M878" s="94"/>
      <c r="N878" s="94"/>
      <c r="O878" s="94"/>
      <c r="P878" s="94"/>
      <c r="Q878" s="94"/>
      <c r="R878" s="94"/>
      <c r="S878" s="94"/>
      <c r="T878" s="94"/>
      <c r="U878" s="94"/>
    </row>
    <row r="879" spans="1:21">
      <c r="A879" s="94"/>
      <c r="B879" s="94"/>
      <c r="C879" s="94"/>
      <c r="D879" s="94"/>
      <c r="E879" s="94"/>
      <c r="F879" s="94"/>
      <c r="G879" s="94"/>
      <c r="H879" s="94"/>
      <c r="I879" s="94"/>
      <c r="J879" s="94"/>
      <c r="K879" s="94"/>
      <c r="L879" s="94"/>
      <c r="M879" s="94"/>
      <c r="N879" s="94"/>
      <c r="O879" s="94"/>
      <c r="P879" s="94"/>
      <c r="Q879" s="94"/>
      <c r="R879" s="94"/>
      <c r="S879" s="94"/>
      <c r="T879" s="94"/>
      <c r="U879" s="94"/>
    </row>
    <row r="880" spans="1:21">
      <c r="A880" s="94"/>
      <c r="B880" s="94"/>
      <c r="C880" s="94"/>
      <c r="D880" s="94"/>
      <c r="E880" s="94"/>
      <c r="F880" s="94"/>
      <c r="G880" s="94"/>
      <c r="H880" s="94"/>
      <c r="I880" s="94"/>
      <c r="J880" s="94"/>
      <c r="K880" s="94"/>
      <c r="L880" s="94"/>
      <c r="M880" s="94"/>
      <c r="N880" s="94"/>
      <c r="O880" s="94"/>
      <c r="P880" s="94"/>
      <c r="Q880" s="94"/>
      <c r="R880" s="94"/>
      <c r="S880" s="94"/>
      <c r="T880" s="94"/>
      <c r="U880" s="94"/>
    </row>
    <row r="881" spans="1:21">
      <c r="A881" s="94"/>
      <c r="B881" s="94"/>
      <c r="C881" s="94"/>
      <c r="D881" s="94"/>
      <c r="E881" s="94"/>
      <c r="F881" s="94"/>
      <c r="G881" s="94"/>
      <c r="H881" s="94"/>
      <c r="I881" s="94"/>
      <c r="J881" s="94"/>
      <c r="K881" s="94"/>
      <c r="L881" s="94"/>
      <c r="M881" s="94"/>
      <c r="N881" s="94"/>
      <c r="O881" s="94"/>
      <c r="P881" s="94"/>
      <c r="Q881" s="94"/>
      <c r="R881" s="94"/>
      <c r="S881" s="94"/>
      <c r="T881" s="94"/>
      <c r="U881" s="94"/>
    </row>
    <row r="882" spans="1:21">
      <c r="A882" s="94"/>
      <c r="B882" s="94"/>
      <c r="C882" s="94"/>
      <c r="D882" s="94"/>
      <c r="E882" s="94"/>
      <c r="F882" s="94"/>
      <c r="G882" s="94"/>
      <c r="H882" s="94"/>
      <c r="I882" s="94"/>
      <c r="J882" s="94"/>
      <c r="K882" s="94"/>
      <c r="L882" s="94"/>
      <c r="M882" s="94"/>
      <c r="N882" s="94"/>
      <c r="O882" s="94"/>
      <c r="P882" s="94"/>
      <c r="Q882" s="94"/>
      <c r="R882" s="94"/>
      <c r="S882" s="94"/>
      <c r="T882" s="94"/>
      <c r="U882" s="94"/>
    </row>
    <row r="883" spans="1:21">
      <c r="A883" s="94"/>
      <c r="B883" s="94"/>
      <c r="C883" s="94"/>
      <c r="D883" s="94"/>
      <c r="E883" s="94"/>
      <c r="F883" s="94"/>
      <c r="G883" s="94"/>
      <c r="H883" s="94"/>
      <c r="I883" s="94"/>
      <c r="J883" s="94"/>
      <c r="K883" s="94"/>
      <c r="L883" s="94"/>
      <c r="M883" s="94"/>
      <c r="N883" s="94"/>
      <c r="O883" s="94"/>
      <c r="P883" s="94"/>
      <c r="Q883" s="94"/>
      <c r="R883" s="94"/>
      <c r="S883" s="94"/>
      <c r="T883" s="94"/>
      <c r="U883" s="94"/>
    </row>
    <row r="884" spans="1:21">
      <c r="A884" s="94"/>
      <c r="B884" s="94"/>
      <c r="C884" s="94"/>
      <c r="D884" s="94"/>
      <c r="E884" s="94"/>
      <c r="F884" s="94"/>
      <c r="G884" s="94"/>
      <c r="H884" s="94"/>
      <c r="I884" s="94"/>
      <c r="J884" s="94"/>
      <c r="K884" s="94"/>
      <c r="L884" s="94"/>
      <c r="M884" s="94"/>
      <c r="N884" s="94"/>
      <c r="O884" s="94"/>
      <c r="P884" s="94"/>
      <c r="Q884" s="94"/>
      <c r="R884" s="94"/>
      <c r="S884" s="94"/>
      <c r="T884" s="94"/>
      <c r="U884" s="94"/>
    </row>
    <row r="885" spans="1:21">
      <c r="A885" s="94"/>
      <c r="B885" s="94"/>
      <c r="C885" s="94"/>
      <c r="D885" s="94"/>
      <c r="E885" s="94"/>
      <c r="F885" s="94"/>
      <c r="G885" s="94"/>
      <c r="H885" s="94"/>
      <c r="I885" s="94"/>
      <c r="J885" s="94"/>
      <c r="K885" s="94"/>
      <c r="L885" s="94"/>
      <c r="M885" s="94"/>
      <c r="N885" s="94"/>
      <c r="O885" s="94"/>
      <c r="P885" s="94"/>
      <c r="Q885" s="94"/>
      <c r="R885" s="94"/>
      <c r="S885" s="94"/>
      <c r="T885" s="94"/>
      <c r="U885" s="94"/>
    </row>
    <row r="886" spans="1:21">
      <c r="A886" s="94"/>
      <c r="B886" s="94"/>
      <c r="C886" s="94"/>
      <c r="D886" s="94"/>
      <c r="E886" s="94"/>
      <c r="F886" s="94"/>
      <c r="G886" s="94"/>
      <c r="H886" s="94"/>
      <c r="I886" s="94"/>
      <c r="J886" s="94"/>
      <c r="K886" s="94"/>
      <c r="L886" s="94"/>
      <c r="M886" s="94"/>
      <c r="N886" s="94"/>
      <c r="O886" s="94"/>
      <c r="P886" s="94"/>
      <c r="Q886" s="94"/>
      <c r="R886" s="94"/>
      <c r="S886" s="94"/>
      <c r="T886" s="94"/>
      <c r="U886" s="94"/>
    </row>
    <row r="887" spans="1:21">
      <c r="A887" s="94"/>
      <c r="B887" s="94"/>
      <c r="C887" s="94"/>
      <c r="D887" s="94"/>
      <c r="E887" s="94"/>
      <c r="F887" s="94"/>
      <c r="G887" s="94"/>
      <c r="H887" s="94"/>
      <c r="I887" s="94"/>
      <c r="J887" s="94"/>
      <c r="K887" s="94"/>
      <c r="L887" s="94"/>
      <c r="M887" s="94"/>
      <c r="N887" s="94"/>
      <c r="O887" s="94"/>
      <c r="P887" s="94"/>
      <c r="Q887" s="94"/>
      <c r="R887" s="94"/>
      <c r="S887" s="94"/>
      <c r="T887" s="94"/>
      <c r="U887" s="94"/>
    </row>
    <row r="888" spans="1:21">
      <c r="A888" s="94"/>
      <c r="B888" s="94"/>
      <c r="C888" s="94"/>
      <c r="D888" s="94"/>
      <c r="E888" s="94"/>
      <c r="F888" s="94"/>
      <c r="G888" s="94"/>
      <c r="H888" s="94"/>
      <c r="I888" s="94"/>
      <c r="J888" s="94"/>
      <c r="K888" s="94"/>
      <c r="L888" s="94"/>
      <c r="M888" s="94"/>
      <c r="N888" s="94"/>
      <c r="O888" s="94"/>
      <c r="P888" s="94"/>
      <c r="Q888" s="94"/>
      <c r="R888" s="94"/>
      <c r="S888" s="94"/>
      <c r="T888" s="94"/>
      <c r="U888" s="94"/>
    </row>
    <row r="889" spans="1:21">
      <c r="A889" s="94"/>
      <c r="B889" s="94"/>
      <c r="C889" s="94"/>
      <c r="D889" s="94"/>
      <c r="E889" s="94"/>
      <c r="F889" s="94"/>
      <c r="G889" s="94"/>
      <c r="H889" s="94"/>
      <c r="I889" s="94"/>
      <c r="J889" s="94"/>
      <c r="K889" s="94"/>
      <c r="L889" s="94"/>
      <c r="M889" s="94"/>
      <c r="N889" s="94"/>
      <c r="O889" s="94"/>
      <c r="P889" s="94"/>
      <c r="Q889" s="94"/>
      <c r="R889" s="94"/>
      <c r="S889" s="94"/>
      <c r="T889" s="94"/>
      <c r="U889" s="94"/>
    </row>
    <row r="890" spans="1:21">
      <c r="A890" s="94"/>
      <c r="B890" s="94"/>
      <c r="C890" s="94"/>
      <c r="D890" s="94"/>
      <c r="E890" s="94"/>
      <c r="F890" s="94"/>
      <c r="G890" s="94"/>
      <c r="H890" s="94"/>
      <c r="I890" s="94"/>
      <c r="J890" s="94"/>
      <c r="K890" s="94"/>
      <c r="L890" s="94"/>
      <c r="M890" s="94"/>
      <c r="N890" s="94"/>
      <c r="O890" s="94"/>
      <c r="P890" s="94"/>
      <c r="Q890" s="94"/>
      <c r="R890" s="94"/>
      <c r="S890" s="94"/>
      <c r="T890" s="94"/>
      <c r="U890" s="94"/>
    </row>
    <row r="891" spans="1:21">
      <c r="A891" s="94"/>
      <c r="B891" s="94"/>
      <c r="C891" s="94"/>
      <c r="D891" s="94"/>
      <c r="E891" s="94"/>
      <c r="F891" s="94"/>
      <c r="G891" s="94"/>
      <c r="H891" s="94"/>
      <c r="I891" s="94"/>
      <c r="J891" s="94"/>
      <c r="K891" s="94"/>
      <c r="L891" s="94"/>
      <c r="M891" s="94"/>
      <c r="N891" s="94"/>
      <c r="O891" s="94"/>
      <c r="P891" s="94"/>
      <c r="Q891" s="94"/>
      <c r="R891" s="94"/>
      <c r="S891" s="94"/>
      <c r="T891" s="94"/>
      <c r="U891" s="94"/>
    </row>
    <row r="892" spans="1:21">
      <c r="A892" s="94"/>
      <c r="B892" s="94"/>
      <c r="C892" s="94"/>
      <c r="D892" s="94"/>
      <c r="E892" s="94"/>
      <c r="F892" s="94"/>
      <c r="G892" s="94"/>
      <c r="H892" s="94"/>
      <c r="I892" s="94"/>
      <c r="J892" s="94"/>
      <c r="K892" s="94"/>
      <c r="L892" s="94"/>
      <c r="M892" s="94"/>
      <c r="N892" s="94"/>
      <c r="O892" s="94"/>
      <c r="P892" s="94"/>
      <c r="Q892" s="94"/>
      <c r="R892" s="94"/>
      <c r="S892" s="94"/>
      <c r="T892" s="94"/>
      <c r="U892" s="94"/>
    </row>
    <row r="893" spans="1:21">
      <c r="A893" s="94"/>
      <c r="B893" s="94"/>
      <c r="C893" s="94"/>
      <c r="D893" s="94"/>
      <c r="E893" s="94"/>
      <c r="F893" s="94"/>
      <c r="G893" s="94"/>
      <c r="H893" s="94"/>
      <c r="I893" s="94"/>
      <c r="J893" s="94"/>
      <c r="K893" s="94"/>
      <c r="L893" s="94"/>
      <c r="M893" s="94"/>
      <c r="N893" s="94"/>
      <c r="O893" s="94"/>
      <c r="P893" s="94"/>
      <c r="Q893" s="94"/>
      <c r="R893" s="94"/>
      <c r="S893" s="94"/>
      <c r="T893" s="94"/>
      <c r="U893" s="94"/>
    </row>
    <row r="894" spans="1:21">
      <c r="A894" s="94"/>
      <c r="B894" s="94"/>
      <c r="C894" s="94"/>
      <c r="D894" s="94"/>
      <c r="E894" s="94"/>
      <c r="F894" s="94"/>
      <c r="G894" s="94"/>
      <c r="H894" s="94"/>
      <c r="I894" s="94"/>
      <c r="J894" s="94"/>
      <c r="K894" s="94"/>
      <c r="L894" s="94"/>
      <c r="M894" s="94"/>
      <c r="N894" s="94"/>
      <c r="O894" s="94"/>
      <c r="P894" s="94"/>
      <c r="Q894" s="94"/>
      <c r="R894" s="94"/>
      <c r="S894" s="94"/>
      <c r="T894" s="94"/>
      <c r="U894" s="94"/>
    </row>
    <row r="895" spans="1:21">
      <c r="A895" s="94"/>
      <c r="B895" s="94"/>
      <c r="C895" s="94"/>
      <c r="D895" s="94"/>
      <c r="E895" s="94"/>
      <c r="F895" s="94"/>
      <c r="G895" s="94"/>
      <c r="H895" s="94"/>
      <c r="I895" s="94"/>
      <c r="J895" s="94"/>
      <c r="K895" s="94"/>
      <c r="L895" s="94"/>
      <c r="M895" s="94"/>
      <c r="N895" s="94"/>
      <c r="O895" s="94"/>
      <c r="P895" s="94"/>
      <c r="Q895" s="94"/>
      <c r="R895" s="94"/>
      <c r="S895" s="94"/>
      <c r="T895" s="94"/>
      <c r="U895" s="94"/>
    </row>
    <row r="896" spans="1:21">
      <c r="A896" s="94"/>
      <c r="B896" s="94"/>
      <c r="C896" s="94"/>
      <c r="D896" s="94"/>
      <c r="E896" s="94"/>
      <c r="F896" s="94"/>
      <c r="G896" s="94"/>
      <c r="H896" s="94"/>
      <c r="I896" s="94"/>
      <c r="J896" s="94"/>
      <c r="K896" s="94"/>
      <c r="L896" s="94"/>
      <c r="M896" s="94"/>
      <c r="N896" s="94"/>
      <c r="O896" s="94"/>
      <c r="P896" s="94"/>
      <c r="Q896" s="94"/>
      <c r="R896" s="94"/>
      <c r="S896" s="94"/>
      <c r="T896" s="94"/>
      <c r="U896" s="94"/>
    </row>
    <row r="897" spans="1:21">
      <c r="A897" s="94"/>
      <c r="B897" s="94"/>
      <c r="C897" s="94"/>
      <c r="D897" s="94"/>
      <c r="E897" s="94"/>
      <c r="F897" s="94"/>
      <c r="G897" s="94"/>
      <c r="H897" s="94"/>
      <c r="I897" s="94"/>
      <c r="J897" s="94"/>
      <c r="K897" s="94"/>
      <c r="L897" s="94"/>
      <c r="M897" s="94"/>
      <c r="N897" s="94"/>
      <c r="O897" s="94"/>
      <c r="P897" s="94"/>
      <c r="Q897" s="94"/>
      <c r="R897" s="94"/>
      <c r="S897" s="94"/>
      <c r="T897" s="94"/>
      <c r="U897" s="94"/>
    </row>
    <row r="898" spans="1:21">
      <c r="A898" s="94"/>
      <c r="B898" s="94"/>
      <c r="C898" s="94"/>
      <c r="D898" s="94"/>
      <c r="E898" s="94"/>
      <c r="F898" s="94"/>
      <c r="G898" s="94"/>
      <c r="H898" s="94"/>
      <c r="I898" s="94"/>
      <c r="J898" s="94"/>
      <c r="K898" s="94"/>
      <c r="L898" s="94"/>
      <c r="M898" s="94"/>
      <c r="N898" s="94"/>
      <c r="O898" s="94"/>
      <c r="P898" s="94"/>
      <c r="Q898" s="94"/>
      <c r="R898" s="94"/>
      <c r="S898" s="94"/>
      <c r="T898" s="94"/>
      <c r="U898" s="94"/>
    </row>
    <row r="899" spans="1:21">
      <c r="A899" s="94"/>
      <c r="B899" s="94"/>
      <c r="C899" s="94"/>
      <c r="D899" s="94"/>
      <c r="E899" s="94"/>
      <c r="F899" s="94"/>
      <c r="G899" s="94"/>
      <c r="H899" s="94"/>
      <c r="I899" s="94"/>
      <c r="J899" s="94"/>
      <c r="K899" s="94"/>
      <c r="L899" s="94"/>
      <c r="M899" s="94"/>
      <c r="N899" s="94"/>
      <c r="O899" s="94"/>
      <c r="P899" s="94"/>
      <c r="Q899" s="94"/>
      <c r="R899" s="94"/>
      <c r="S899" s="94"/>
      <c r="T899" s="94"/>
      <c r="U899" s="94"/>
    </row>
    <row r="900" spans="1:21">
      <c r="A900" s="94"/>
      <c r="B900" s="94"/>
      <c r="C900" s="94"/>
      <c r="D900" s="94"/>
      <c r="E900" s="94"/>
      <c r="F900" s="94"/>
      <c r="G900" s="94"/>
      <c r="H900" s="94"/>
      <c r="I900" s="94"/>
      <c r="J900" s="94"/>
      <c r="K900" s="94"/>
      <c r="L900" s="94"/>
      <c r="M900" s="94"/>
      <c r="N900" s="94"/>
      <c r="O900" s="94"/>
      <c r="P900" s="94"/>
      <c r="Q900" s="94"/>
      <c r="R900" s="94"/>
      <c r="S900" s="94"/>
      <c r="T900" s="94"/>
      <c r="U900" s="94"/>
    </row>
    <row r="901" spans="1:21">
      <c r="A901" s="94"/>
      <c r="B901" s="94"/>
      <c r="C901" s="94"/>
      <c r="D901" s="94"/>
      <c r="E901" s="94"/>
      <c r="F901" s="94"/>
      <c r="G901" s="94"/>
      <c r="H901" s="94"/>
      <c r="I901" s="94"/>
      <c r="J901" s="94"/>
      <c r="K901" s="94"/>
      <c r="L901" s="94"/>
      <c r="M901" s="94"/>
      <c r="N901" s="94"/>
      <c r="O901" s="94"/>
      <c r="P901" s="94"/>
      <c r="Q901" s="94"/>
      <c r="R901" s="94"/>
      <c r="S901" s="94"/>
      <c r="T901" s="94"/>
      <c r="U901" s="94"/>
    </row>
    <row r="902" spans="1:21">
      <c r="A902" s="94"/>
      <c r="B902" s="94"/>
      <c r="C902" s="94"/>
      <c r="D902" s="94"/>
      <c r="E902" s="94"/>
      <c r="F902" s="94"/>
      <c r="G902" s="94"/>
      <c r="H902" s="94"/>
      <c r="I902" s="94"/>
      <c r="J902" s="94"/>
      <c r="K902" s="94"/>
      <c r="L902" s="94"/>
      <c r="M902" s="94"/>
      <c r="N902" s="94"/>
      <c r="O902" s="94"/>
      <c r="P902" s="94"/>
      <c r="Q902" s="94"/>
      <c r="R902" s="94"/>
      <c r="S902" s="94"/>
      <c r="T902" s="94"/>
      <c r="U902" s="94"/>
    </row>
    <row r="903" spans="1:21">
      <c r="A903" s="94"/>
      <c r="B903" s="94"/>
      <c r="C903" s="94"/>
      <c r="D903" s="94"/>
      <c r="E903" s="94"/>
      <c r="F903" s="94"/>
      <c r="G903" s="94"/>
      <c r="H903" s="94"/>
      <c r="I903" s="94"/>
      <c r="J903" s="94"/>
      <c r="K903" s="94"/>
      <c r="L903" s="94"/>
      <c r="M903" s="94"/>
      <c r="N903" s="94"/>
      <c r="O903" s="94"/>
      <c r="P903" s="94"/>
      <c r="Q903" s="94"/>
      <c r="R903" s="94"/>
      <c r="S903" s="94"/>
      <c r="T903" s="94"/>
      <c r="U903" s="94"/>
    </row>
    <row r="904" spans="1:21">
      <c r="A904" s="94"/>
      <c r="B904" s="94"/>
      <c r="C904" s="94"/>
      <c r="D904" s="94"/>
      <c r="E904" s="94"/>
      <c r="F904" s="94"/>
      <c r="G904" s="94"/>
      <c r="H904" s="94"/>
      <c r="I904" s="94"/>
      <c r="J904" s="94"/>
      <c r="K904" s="94"/>
      <c r="L904" s="94"/>
      <c r="M904" s="94"/>
      <c r="N904" s="94"/>
      <c r="O904" s="94"/>
      <c r="P904" s="94"/>
      <c r="Q904" s="94"/>
      <c r="R904" s="94"/>
      <c r="S904" s="94"/>
      <c r="T904" s="94"/>
      <c r="U904" s="94"/>
    </row>
    <row r="905" spans="1:21">
      <c r="A905" s="94"/>
      <c r="B905" s="94"/>
      <c r="C905" s="94"/>
      <c r="D905" s="94"/>
      <c r="E905" s="94"/>
      <c r="F905" s="94"/>
      <c r="G905" s="94"/>
      <c r="H905" s="94"/>
      <c r="I905" s="94"/>
      <c r="J905" s="94"/>
      <c r="K905" s="94"/>
      <c r="L905" s="94"/>
      <c r="M905" s="94"/>
      <c r="N905" s="94"/>
      <c r="O905" s="94"/>
      <c r="P905" s="94"/>
      <c r="Q905" s="94"/>
      <c r="R905" s="94"/>
      <c r="S905" s="94"/>
      <c r="T905" s="94"/>
      <c r="U905" s="94"/>
    </row>
    <row r="906" spans="1:21">
      <c r="A906" s="94"/>
      <c r="B906" s="94"/>
      <c r="C906" s="94"/>
      <c r="D906" s="94"/>
      <c r="E906" s="94"/>
      <c r="F906" s="94"/>
      <c r="G906" s="94"/>
      <c r="H906" s="94"/>
      <c r="I906" s="94"/>
      <c r="J906" s="94"/>
      <c r="K906" s="94"/>
      <c r="L906" s="94"/>
      <c r="M906" s="94"/>
      <c r="N906" s="94"/>
      <c r="O906" s="94"/>
      <c r="P906" s="94"/>
      <c r="Q906" s="94"/>
      <c r="R906" s="94"/>
      <c r="S906" s="94"/>
      <c r="T906" s="94"/>
      <c r="U906" s="94"/>
    </row>
    <row r="907" spans="1:21">
      <c r="A907" s="94"/>
      <c r="B907" s="94"/>
      <c r="C907" s="94"/>
      <c r="D907" s="94"/>
      <c r="E907" s="94"/>
      <c r="F907" s="94"/>
      <c r="G907" s="94"/>
      <c r="H907" s="94"/>
      <c r="I907" s="94"/>
      <c r="J907" s="94"/>
      <c r="K907" s="94"/>
      <c r="L907" s="94"/>
      <c r="M907" s="94"/>
      <c r="N907" s="94"/>
      <c r="O907" s="94"/>
      <c r="P907" s="94"/>
      <c r="Q907" s="94"/>
      <c r="R907" s="94"/>
      <c r="S907" s="94"/>
      <c r="T907" s="94"/>
      <c r="U907" s="94"/>
    </row>
    <row r="908" spans="1:21">
      <c r="A908" s="94"/>
      <c r="B908" s="94"/>
      <c r="C908" s="94"/>
      <c r="D908" s="94"/>
      <c r="E908" s="94"/>
      <c r="F908" s="94"/>
      <c r="G908" s="94"/>
      <c r="H908" s="94"/>
      <c r="I908" s="94"/>
      <c r="J908" s="94"/>
      <c r="K908" s="94"/>
      <c r="L908" s="94"/>
      <c r="M908" s="94"/>
      <c r="N908" s="94"/>
      <c r="O908" s="94"/>
      <c r="P908" s="94"/>
      <c r="Q908" s="94"/>
      <c r="R908" s="94"/>
      <c r="S908" s="94"/>
      <c r="T908" s="94"/>
      <c r="U908" s="94"/>
    </row>
    <row r="909" spans="1:21">
      <c r="A909" s="94"/>
      <c r="B909" s="94"/>
      <c r="C909" s="94"/>
      <c r="D909" s="94"/>
      <c r="E909" s="94"/>
      <c r="F909" s="94"/>
      <c r="G909" s="94"/>
      <c r="H909" s="94"/>
      <c r="I909" s="94"/>
      <c r="J909" s="94"/>
      <c r="K909" s="94"/>
      <c r="L909" s="94"/>
      <c r="M909" s="94"/>
      <c r="N909" s="94"/>
      <c r="O909" s="94"/>
      <c r="P909" s="94"/>
      <c r="Q909" s="94"/>
      <c r="R909" s="94"/>
      <c r="S909" s="94"/>
      <c r="T909" s="94"/>
      <c r="U909" s="94"/>
    </row>
    <row r="910" spans="1:21">
      <c r="A910" s="94"/>
      <c r="B910" s="94"/>
      <c r="C910" s="94"/>
      <c r="D910" s="94"/>
      <c r="E910" s="94"/>
      <c r="F910" s="94"/>
      <c r="G910" s="94"/>
      <c r="H910" s="94"/>
      <c r="I910" s="94"/>
      <c r="J910" s="94"/>
      <c r="K910" s="94"/>
      <c r="L910" s="94"/>
      <c r="M910" s="94"/>
      <c r="N910" s="94"/>
      <c r="O910" s="94"/>
      <c r="P910" s="94"/>
      <c r="Q910" s="94"/>
      <c r="R910" s="94"/>
      <c r="S910" s="94"/>
      <c r="T910" s="94"/>
      <c r="U910" s="94"/>
    </row>
    <row r="911" spans="1:21">
      <c r="A911" s="94"/>
      <c r="B911" s="94"/>
      <c r="C911" s="94"/>
      <c r="D911" s="94"/>
      <c r="E911" s="94"/>
      <c r="F911" s="94"/>
      <c r="G911" s="94"/>
      <c r="H911" s="94"/>
      <c r="I911" s="94"/>
      <c r="J911" s="94"/>
      <c r="K911" s="94"/>
      <c r="L911" s="94"/>
      <c r="M911" s="94"/>
      <c r="N911" s="94"/>
      <c r="O911" s="94"/>
      <c r="P911" s="94"/>
      <c r="Q911" s="94"/>
      <c r="R911" s="94"/>
      <c r="S911" s="94"/>
      <c r="T911" s="94"/>
      <c r="U911" s="94"/>
    </row>
    <row r="912" spans="1:21">
      <c r="A912" s="94"/>
      <c r="B912" s="94"/>
      <c r="C912" s="94"/>
      <c r="D912" s="94"/>
      <c r="E912" s="94"/>
      <c r="F912" s="94"/>
      <c r="G912" s="94"/>
      <c r="H912" s="94"/>
      <c r="I912" s="94"/>
      <c r="J912" s="94"/>
      <c r="K912" s="94"/>
      <c r="L912" s="94"/>
      <c r="M912" s="94"/>
      <c r="N912" s="94"/>
      <c r="O912" s="94"/>
      <c r="P912" s="94"/>
      <c r="Q912" s="94"/>
      <c r="R912" s="94"/>
      <c r="S912" s="94"/>
      <c r="T912" s="94"/>
      <c r="U912" s="94"/>
    </row>
    <row r="913" spans="1:21">
      <c r="A913" s="94"/>
      <c r="B913" s="94"/>
      <c r="C913" s="94"/>
      <c r="D913" s="94"/>
      <c r="E913" s="94"/>
      <c r="F913" s="94"/>
      <c r="G913" s="94"/>
      <c r="H913" s="94"/>
      <c r="I913" s="94"/>
      <c r="J913" s="94"/>
      <c r="K913" s="94"/>
      <c r="L913" s="94"/>
      <c r="M913" s="94"/>
      <c r="N913" s="94"/>
      <c r="O913" s="94"/>
      <c r="P913" s="94"/>
      <c r="Q913" s="94"/>
      <c r="R913" s="94"/>
      <c r="S913" s="94"/>
      <c r="T913" s="94"/>
      <c r="U913" s="94"/>
    </row>
    <row r="914" spans="1:21">
      <c r="A914" s="94"/>
      <c r="B914" s="94"/>
      <c r="C914" s="94"/>
      <c r="D914" s="94"/>
      <c r="E914" s="94"/>
      <c r="F914" s="94"/>
      <c r="G914" s="94"/>
      <c r="H914" s="94"/>
      <c r="I914" s="94"/>
      <c r="J914" s="94"/>
      <c r="K914" s="94"/>
      <c r="L914" s="94"/>
      <c r="M914" s="94"/>
      <c r="N914" s="94"/>
      <c r="O914" s="94"/>
      <c r="P914" s="94"/>
      <c r="Q914" s="94"/>
      <c r="R914" s="94"/>
      <c r="S914" s="94"/>
      <c r="T914" s="94"/>
      <c r="U914" s="94"/>
    </row>
    <row r="915" spans="1:21">
      <c r="A915" s="94"/>
      <c r="B915" s="94"/>
      <c r="C915" s="94"/>
      <c r="D915" s="94"/>
      <c r="E915" s="94"/>
      <c r="F915" s="94"/>
      <c r="G915" s="94"/>
      <c r="H915" s="94"/>
      <c r="I915" s="94"/>
      <c r="J915" s="94"/>
      <c r="K915" s="94"/>
      <c r="L915" s="94"/>
      <c r="M915" s="94"/>
      <c r="N915" s="94"/>
      <c r="O915" s="94"/>
      <c r="P915" s="94"/>
      <c r="Q915" s="94"/>
      <c r="R915" s="94"/>
      <c r="S915" s="94"/>
      <c r="T915" s="94"/>
      <c r="U915" s="94"/>
    </row>
    <row r="916" spans="1:21">
      <c r="A916" s="94"/>
      <c r="B916" s="94"/>
      <c r="C916" s="94"/>
      <c r="D916" s="94"/>
      <c r="E916" s="94"/>
      <c r="F916" s="94"/>
      <c r="G916" s="94"/>
      <c r="H916" s="94"/>
      <c r="I916" s="94"/>
      <c r="J916" s="94"/>
      <c r="K916" s="94"/>
      <c r="L916" s="94"/>
      <c r="M916" s="94"/>
      <c r="N916" s="94"/>
      <c r="O916" s="94"/>
      <c r="P916" s="94"/>
      <c r="Q916" s="94"/>
      <c r="R916" s="94"/>
      <c r="S916" s="94"/>
      <c r="T916" s="94"/>
      <c r="U916" s="94"/>
    </row>
    <row r="917" spans="1:21">
      <c r="A917" s="94"/>
      <c r="B917" s="94"/>
      <c r="C917" s="94"/>
      <c r="D917" s="94"/>
      <c r="E917" s="94"/>
      <c r="F917" s="94"/>
      <c r="G917" s="94"/>
      <c r="H917" s="94"/>
      <c r="I917" s="94"/>
      <c r="J917" s="94"/>
      <c r="K917" s="94"/>
      <c r="L917" s="94"/>
      <c r="M917" s="94"/>
      <c r="N917" s="94"/>
      <c r="O917" s="94"/>
      <c r="P917" s="94"/>
      <c r="Q917" s="94"/>
      <c r="R917" s="94"/>
      <c r="S917" s="94"/>
      <c r="T917" s="94"/>
      <c r="U917" s="94"/>
    </row>
    <row r="918" spans="1:21">
      <c r="A918" s="94"/>
      <c r="B918" s="94"/>
      <c r="C918" s="94"/>
      <c r="D918" s="94"/>
      <c r="E918" s="94"/>
      <c r="F918" s="94"/>
      <c r="G918" s="94"/>
      <c r="H918" s="94"/>
      <c r="I918" s="94"/>
      <c r="J918" s="94"/>
      <c r="K918" s="94"/>
      <c r="L918" s="94"/>
      <c r="M918" s="94"/>
      <c r="N918" s="94"/>
      <c r="O918" s="94"/>
      <c r="P918" s="94"/>
      <c r="Q918" s="94"/>
      <c r="R918" s="94"/>
      <c r="S918" s="94"/>
      <c r="T918" s="94"/>
      <c r="U918" s="94"/>
    </row>
    <row r="919" spans="1:21">
      <c r="A919" s="94"/>
      <c r="B919" s="94"/>
      <c r="C919" s="94"/>
      <c r="D919" s="94"/>
      <c r="E919" s="94"/>
      <c r="F919" s="94"/>
      <c r="G919" s="94"/>
      <c r="H919" s="94"/>
      <c r="I919" s="94"/>
      <c r="J919" s="94"/>
      <c r="K919" s="94"/>
      <c r="L919" s="94"/>
      <c r="M919" s="94"/>
      <c r="N919" s="94"/>
      <c r="O919" s="94"/>
      <c r="P919" s="94"/>
      <c r="Q919" s="94"/>
      <c r="R919" s="94"/>
      <c r="S919" s="94"/>
      <c r="T919" s="94"/>
      <c r="U919" s="94"/>
    </row>
    <row r="920" spans="1:21">
      <c r="A920" s="94"/>
      <c r="B920" s="94"/>
      <c r="C920" s="94"/>
      <c r="D920" s="94"/>
      <c r="E920" s="94"/>
      <c r="F920" s="94"/>
      <c r="G920" s="94"/>
      <c r="H920" s="94"/>
      <c r="I920" s="94"/>
      <c r="J920" s="94"/>
      <c r="K920" s="94"/>
      <c r="L920" s="94"/>
      <c r="M920" s="94"/>
      <c r="N920" s="94"/>
      <c r="O920" s="94"/>
      <c r="P920" s="94"/>
      <c r="Q920" s="94"/>
      <c r="R920" s="94"/>
      <c r="S920" s="94"/>
      <c r="T920" s="94"/>
      <c r="U920" s="94"/>
    </row>
    <row r="921" spans="1:21">
      <c r="A921" s="94"/>
      <c r="B921" s="94"/>
      <c r="C921" s="94"/>
      <c r="D921" s="94"/>
      <c r="E921" s="94"/>
      <c r="F921" s="94"/>
      <c r="G921" s="94"/>
      <c r="H921" s="94"/>
      <c r="I921" s="94"/>
      <c r="J921" s="94"/>
      <c r="K921" s="94"/>
      <c r="L921" s="94"/>
      <c r="M921" s="94"/>
      <c r="N921" s="94"/>
      <c r="O921" s="94"/>
      <c r="P921" s="94"/>
      <c r="Q921" s="94"/>
      <c r="R921" s="94"/>
      <c r="S921" s="94"/>
      <c r="T921" s="94"/>
      <c r="U921" s="94"/>
    </row>
    <row r="922" spans="1:21">
      <c r="A922" s="94"/>
      <c r="B922" s="94"/>
      <c r="C922" s="94"/>
      <c r="D922" s="94"/>
      <c r="E922" s="94"/>
      <c r="F922" s="94"/>
      <c r="G922" s="94"/>
      <c r="H922" s="94"/>
      <c r="I922" s="94"/>
      <c r="J922" s="94"/>
      <c r="K922" s="94"/>
      <c r="L922" s="94"/>
      <c r="M922" s="94"/>
      <c r="N922" s="94"/>
      <c r="O922" s="94"/>
      <c r="P922" s="94"/>
      <c r="Q922" s="94"/>
      <c r="R922" s="94"/>
      <c r="S922" s="94"/>
      <c r="T922" s="94"/>
      <c r="U922" s="94"/>
    </row>
    <row r="923" spans="1:21">
      <c r="A923" s="94"/>
      <c r="B923" s="94"/>
      <c r="C923" s="94"/>
      <c r="D923" s="94"/>
      <c r="E923" s="94"/>
      <c r="F923" s="94"/>
      <c r="G923" s="94"/>
      <c r="H923" s="94"/>
      <c r="I923" s="94"/>
      <c r="J923" s="94"/>
      <c r="K923" s="94"/>
      <c r="L923" s="94"/>
      <c r="M923" s="94"/>
      <c r="N923" s="94"/>
      <c r="O923" s="94"/>
      <c r="P923" s="94"/>
      <c r="Q923" s="94"/>
      <c r="R923" s="94"/>
      <c r="S923" s="94"/>
      <c r="T923" s="94"/>
      <c r="U923" s="94"/>
    </row>
    <row r="924" spans="1:21">
      <c r="A924" s="94"/>
      <c r="B924" s="94"/>
      <c r="C924" s="94"/>
      <c r="D924" s="94"/>
      <c r="E924" s="94"/>
      <c r="F924" s="94"/>
      <c r="G924" s="94"/>
      <c r="H924" s="94"/>
      <c r="I924" s="94"/>
      <c r="J924" s="94"/>
      <c r="K924" s="94"/>
      <c r="L924" s="94"/>
      <c r="M924" s="94"/>
      <c r="N924" s="94"/>
      <c r="O924" s="94"/>
      <c r="P924" s="94"/>
      <c r="Q924" s="94"/>
      <c r="R924" s="94"/>
      <c r="S924" s="94"/>
      <c r="T924" s="94"/>
      <c r="U924" s="94"/>
    </row>
    <row r="925" spans="1:21">
      <c r="A925" s="94"/>
      <c r="B925" s="94"/>
      <c r="C925" s="94"/>
      <c r="D925" s="94"/>
      <c r="E925" s="94"/>
      <c r="F925" s="94"/>
      <c r="G925" s="94"/>
      <c r="H925" s="94"/>
      <c r="I925" s="94"/>
      <c r="J925" s="94"/>
      <c r="K925" s="94"/>
      <c r="L925" s="94"/>
      <c r="M925" s="94"/>
      <c r="N925" s="94"/>
      <c r="O925" s="94"/>
      <c r="P925" s="94"/>
      <c r="Q925" s="94"/>
      <c r="R925" s="94"/>
      <c r="S925" s="94"/>
      <c r="T925" s="94"/>
      <c r="U925" s="94"/>
    </row>
    <row r="926" spans="1:21">
      <c r="A926" s="94"/>
      <c r="B926" s="94"/>
      <c r="C926" s="94"/>
      <c r="D926" s="94"/>
      <c r="E926" s="94"/>
      <c r="F926" s="94"/>
      <c r="G926" s="94"/>
      <c r="H926" s="94"/>
      <c r="I926" s="94"/>
      <c r="J926" s="94"/>
      <c r="K926" s="94"/>
      <c r="L926" s="94"/>
      <c r="M926" s="94"/>
      <c r="N926" s="94"/>
      <c r="O926" s="94"/>
      <c r="P926" s="94"/>
      <c r="Q926" s="94"/>
      <c r="R926" s="94"/>
      <c r="S926" s="94"/>
      <c r="T926" s="94"/>
      <c r="U926" s="94"/>
    </row>
    <row r="927" spans="1:21">
      <c r="A927" s="94"/>
      <c r="B927" s="94"/>
      <c r="C927" s="94"/>
      <c r="D927" s="94"/>
      <c r="E927" s="94"/>
      <c r="F927" s="94"/>
      <c r="G927" s="94"/>
      <c r="H927" s="94"/>
      <c r="I927" s="94"/>
      <c r="J927" s="94"/>
      <c r="K927" s="94"/>
      <c r="L927" s="94"/>
      <c r="M927" s="94"/>
      <c r="N927" s="94"/>
      <c r="O927" s="94"/>
      <c r="P927" s="94"/>
      <c r="Q927" s="94"/>
      <c r="R927" s="94"/>
      <c r="S927" s="94"/>
      <c r="T927" s="94"/>
      <c r="U927" s="94"/>
    </row>
    <row r="928" spans="1:21">
      <c r="A928" s="94"/>
      <c r="B928" s="94"/>
      <c r="C928" s="94"/>
      <c r="D928" s="94"/>
      <c r="E928" s="94"/>
      <c r="F928" s="94"/>
      <c r="G928" s="94"/>
      <c r="H928" s="94"/>
      <c r="I928" s="94"/>
      <c r="J928" s="94"/>
      <c r="K928" s="94"/>
      <c r="L928" s="94"/>
      <c r="M928" s="94"/>
      <c r="N928" s="94"/>
      <c r="O928" s="94"/>
      <c r="P928" s="94"/>
      <c r="Q928" s="94"/>
      <c r="R928" s="94"/>
      <c r="S928" s="94"/>
      <c r="T928" s="94"/>
      <c r="U928" s="94"/>
    </row>
    <row r="929" spans="1:21">
      <c r="A929" s="94"/>
      <c r="B929" s="94"/>
      <c r="C929" s="94"/>
      <c r="D929" s="94"/>
      <c r="E929" s="94"/>
      <c r="F929" s="94"/>
      <c r="G929" s="94"/>
      <c r="H929" s="94"/>
      <c r="I929" s="94"/>
      <c r="J929" s="94"/>
      <c r="K929" s="94"/>
      <c r="L929" s="94"/>
      <c r="M929" s="94"/>
      <c r="N929" s="94"/>
      <c r="O929" s="94"/>
      <c r="P929" s="94"/>
      <c r="Q929" s="94"/>
      <c r="R929" s="94"/>
      <c r="S929" s="94"/>
      <c r="T929" s="94"/>
      <c r="U929" s="94"/>
    </row>
    <row r="930" spans="1:21">
      <c r="A930" s="94"/>
      <c r="B930" s="94"/>
      <c r="C930" s="94"/>
      <c r="D930" s="94"/>
      <c r="E930" s="94"/>
      <c r="F930" s="94"/>
      <c r="G930" s="94"/>
      <c r="H930" s="94"/>
      <c r="I930" s="94"/>
      <c r="J930" s="94"/>
      <c r="K930" s="94"/>
      <c r="L930" s="94"/>
      <c r="M930" s="94"/>
      <c r="N930" s="94"/>
      <c r="O930" s="94"/>
      <c r="P930" s="94"/>
      <c r="Q930" s="94"/>
      <c r="R930" s="94"/>
      <c r="S930" s="94"/>
      <c r="T930" s="94"/>
      <c r="U930" s="94"/>
    </row>
    <row r="931" spans="1:21">
      <c r="A931" s="94"/>
      <c r="B931" s="94"/>
      <c r="C931" s="94"/>
      <c r="D931" s="94"/>
      <c r="E931" s="94"/>
      <c r="F931" s="94"/>
      <c r="G931" s="94"/>
      <c r="H931" s="94"/>
      <c r="I931" s="94"/>
      <c r="J931" s="94"/>
      <c r="K931" s="94"/>
      <c r="L931" s="94"/>
      <c r="M931" s="94"/>
      <c r="N931" s="94"/>
      <c r="O931" s="94"/>
      <c r="P931" s="94"/>
      <c r="Q931" s="94"/>
      <c r="R931" s="94"/>
      <c r="S931" s="94"/>
      <c r="T931" s="94"/>
      <c r="U931" s="94"/>
    </row>
    <row r="932" spans="1:21">
      <c r="A932" s="94"/>
      <c r="B932" s="94"/>
      <c r="C932" s="94"/>
      <c r="D932" s="94"/>
      <c r="E932" s="94"/>
      <c r="F932" s="94"/>
      <c r="G932" s="94"/>
      <c r="H932" s="94"/>
      <c r="I932" s="94"/>
      <c r="J932" s="94"/>
      <c r="K932" s="94"/>
      <c r="L932" s="94"/>
      <c r="M932" s="94"/>
      <c r="N932" s="94"/>
      <c r="O932" s="94"/>
      <c r="P932" s="94"/>
      <c r="Q932" s="94"/>
      <c r="R932" s="94"/>
      <c r="S932" s="94"/>
      <c r="T932" s="94"/>
      <c r="U932" s="94"/>
    </row>
    <row r="933" spans="1:21">
      <c r="A933" s="94"/>
      <c r="B933" s="94"/>
      <c r="C933" s="94"/>
      <c r="D933" s="94"/>
      <c r="E933" s="94"/>
      <c r="F933" s="94"/>
      <c r="G933" s="94"/>
      <c r="H933" s="94"/>
      <c r="I933" s="94"/>
      <c r="J933" s="94"/>
      <c r="K933" s="94"/>
      <c r="L933" s="94"/>
      <c r="M933" s="94"/>
      <c r="N933" s="94"/>
      <c r="O933" s="94"/>
      <c r="P933" s="94"/>
      <c r="Q933" s="94"/>
      <c r="R933" s="94"/>
      <c r="S933" s="94"/>
      <c r="T933" s="94"/>
      <c r="U933" s="94"/>
    </row>
    <row r="934" spans="1:21">
      <c r="A934" s="94"/>
      <c r="B934" s="94"/>
      <c r="C934" s="94"/>
      <c r="D934" s="94"/>
      <c r="E934" s="94"/>
      <c r="F934" s="94"/>
      <c r="G934" s="94"/>
      <c r="H934" s="94"/>
      <c r="I934" s="94"/>
      <c r="J934" s="94"/>
      <c r="K934" s="94"/>
      <c r="L934" s="94"/>
      <c r="M934" s="94"/>
      <c r="N934" s="94"/>
      <c r="O934" s="94"/>
      <c r="P934" s="94"/>
      <c r="Q934" s="94"/>
      <c r="R934" s="94"/>
      <c r="S934" s="94"/>
      <c r="T934" s="94"/>
      <c r="U934" s="94"/>
    </row>
    <row r="935" spans="1:21">
      <c r="A935" s="94"/>
      <c r="B935" s="94"/>
      <c r="C935" s="94"/>
      <c r="D935" s="94"/>
      <c r="E935" s="94"/>
      <c r="F935" s="94"/>
      <c r="G935" s="94"/>
      <c r="H935" s="94"/>
      <c r="I935" s="94"/>
      <c r="J935" s="94"/>
      <c r="K935" s="94"/>
      <c r="L935" s="94"/>
      <c r="M935" s="94"/>
      <c r="N935" s="94"/>
      <c r="O935" s="94"/>
      <c r="P935" s="94"/>
      <c r="Q935" s="94"/>
      <c r="R935" s="94"/>
      <c r="S935" s="94"/>
      <c r="T935" s="94"/>
      <c r="U935" s="94"/>
    </row>
    <row r="936" spans="1:21">
      <c r="A936" s="94"/>
      <c r="B936" s="94"/>
      <c r="C936" s="94"/>
      <c r="D936" s="94"/>
      <c r="E936" s="94"/>
      <c r="F936" s="94"/>
      <c r="G936" s="94"/>
      <c r="H936" s="94"/>
      <c r="I936" s="94"/>
      <c r="J936" s="94"/>
      <c r="K936" s="94"/>
      <c r="L936" s="94"/>
      <c r="M936" s="94"/>
      <c r="N936" s="94"/>
      <c r="O936" s="94"/>
      <c r="P936" s="94"/>
      <c r="Q936" s="94"/>
      <c r="R936" s="94"/>
      <c r="S936" s="94"/>
      <c r="T936" s="94"/>
      <c r="U936" s="94"/>
    </row>
    <row r="937" spans="1:21">
      <c r="A937" s="94"/>
      <c r="B937" s="94"/>
      <c r="C937" s="94"/>
      <c r="D937" s="94"/>
      <c r="E937" s="94"/>
      <c r="F937" s="94"/>
      <c r="G937" s="94"/>
      <c r="H937" s="94"/>
      <c r="I937" s="94"/>
      <c r="J937" s="94"/>
      <c r="K937" s="94"/>
      <c r="L937" s="94"/>
      <c r="M937" s="94"/>
      <c r="N937" s="94"/>
      <c r="O937" s="94"/>
      <c r="P937" s="94"/>
      <c r="Q937" s="94"/>
      <c r="R937" s="94"/>
      <c r="S937" s="94"/>
      <c r="T937" s="94"/>
      <c r="U937" s="94"/>
    </row>
    <row r="938" spans="1:21">
      <c r="A938" s="94"/>
      <c r="B938" s="94"/>
      <c r="C938" s="94"/>
      <c r="D938" s="94"/>
      <c r="E938" s="94"/>
      <c r="F938" s="94"/>
      <c r="G938" s="94"/>
      <c r="H938" s="94"/>
      <c r="I938" s="94"/>
      <c r="J938" s="94"/>
      <c r="K938" s="94"/>
      <c r="L938" s="94"/>
      <c r="M938" s="94"/>
      <c r="N938" s="94"/>
      <c r="O938" s="94"/>
      <c r="P938" s="94"/>
      <c r="Q938" s="94"/>
      <c r="R938" s="94"/>
      <c r="S938" s="94"/>
      <c r="T938" s="94"/>
      <c r="U938" s="94"/>
    </row>
    <row r="939" spans="1:21">
      <c r="A939" s="94"/>
      <c r="B939" s="94"/>
      <c r="C939" s="94"/>
      <c r="D939" s="94"/>
      <c r="E939" s="94"/>
      <c r="F939" s="94"/>
      <c r="G939" s="94"/>
      <c r="H939" s="94"/>
      <c r="I939" s="94"/>
      <c r="J939" s="94"/>
      <c r="K939" s="94"/>
      <c r="L939" s="94"/>
      <c r="M939" s="94"/>
      <c r="N939" s="94"/>
      <c r="O939" s="94"/>
      <c r="P939" s="94"/>
      <c r="Q939" s="94"/>
      <c r="R939" s="94"/>
      <c r="S939" s="94"/>
      <c r="T939" s="94"/>
      <c r="U939" s="94"/>
    </row>
    <row r="940" spans="1:21">
      <c r="A940" s="94"/>
      <c r="B940" s="94"/>
      <c r="C940" s="94"/>
      <c r="D940" s="94"/>
      <c r="E940" s="94"/>
      <c r="F940" s="94"/>
      <c r="G940" s="94"/>
      <c r="H940" s="94"/>
      <c r="I940" s="94"/>
      <c r="J940" s="94"/>
      <c r="K940" s="94"/>
      <c r="L940" s="94"/>
      <c r="M940" s="94"/>
      <c r="N940" s="94"/>
      <c r="O940" s="94"/>
      <c r="P940" s="94"/>
      <c r="Q940" s="94"/>
      <c r="R940" s="94"/>
      <c r="S940" s="94"/>
      <c r="T940" s="94"/>
      <c r="U940" s="94"/>
    </row>
    <row r="941" spans="1:21">
      <c r="A941" s="94"/>
      <c r="B941" s="94"/>
      <c r="C941" s="94"/>
      <c r="D941" s="94"/>
      <c r="E941" s="94"/>
      <c r="F941" s="94"/>
      <c r="G941" s="94"/>
      <c r="H941" s="94"/>
      <c r="I941" s="94"/>
      <c r="J941" s="94"/>
      <c r="K941" s="94"/>
      <c r="L941" s="94"/>
      <c r="M941" s="94"/>
      <c r="N941" s="94"/>
      <c r="O941" s="94"/>
      <c r="P941" s="94"/>
      <c r="Q941" s="94"/>
      <c r="R941" s="94"/>
      <c r="S941" s="94"/>
      <c r="T941" s="94"/>
      <c r="U941" s="94"/>
    </row>
    <row r="942" spans="1:21">
      <c r="A942" s="94"/>
      <c r="B942" s="94"/>
      <c r="C942" s="94"/>
      <c r="D942" s="94"/>
      <c r="E942" s="94"/>
      <c r="F942" s="94"/>
      <c r="G942" s="94"/>
      <c r="H942" s="94"/>
      <c r="I942" s="94"/>
      <c r="J942" s="94"/>
      <c r="K942" s="94"/>
      <c r="L942" s="94"/>
      <c r="M942" s="94"/>
      <c r="N942" s="94"/>
      <c r="O942" s="94"/>
      <c r="P942" s="94"/>
      <c r="Q942" s="94"/>
      <c r="R942" s="94"/>
      <c r="S942" s="94"/>
      <c r="T942" s="94"/>
      <c r="U942" s="94"/>
    </row>
    <row r="943" spans="1:21">
      <c r="A943" s="94"/>
      <c r="B943" s="94"/>
      <c r="C943" s="94"/>
      <c r="D943" s="94"/>
      <c r="E943" s="94"/>
      <c r="F943" s="94"/>
      <c r="G943" s="94"/>
      <c r="H943" s="94"/>
      <c r="I943" s="94"/>
      <c r="J943" s="94"/>
      <c r="K943" s="94"/>
      <c r="L943" s="94"/>
      <c r="M943" s="94"/>
      <c r="N943" s="94"/>
      <c r="O943" s="94"/>
      <c r="P943" s="94"/>
      <c r="Q943" s="94"/>
      <c r="R943" s="94"/>
      <c r="S943" s="94"/>
      <c r="T943" s="94"/>
      <c r="U943" s="94"/>
    </row>
    <row r="944" spans="1:21">
      <c r="A944" s="94"/>
      <c r="B944" s="94"/>
      <c r="C944" s="94"/>
      <c r="D944" s="94"/>
      <c r="E944" s="94"/>
      <c r="F944" s="94"/>
      <c r="G944" s="94"/>
      <c r="H944" s="94"/>
      <c r="I944" s="94"/>
      <c r="J944" s="94"/>
      <c r="K944" s="94"/>
      <c r="L944" s="94"/>
      <c r="M944" s="94"/>
      <c r="N944" s="94"/>
      <c r="O944" s="94"/>
      <c r="P944" s="94"/>
      <c r="Q944" s="94"/>
      <c r="R944" s="94"/>
      <c r="S944" s="94"/>
      <c r="T944" s="94"/>
      <c r="U944" s="94"/>
    </row>
    <row r="945" spans="1:21">
      <c r="A945" s="94"/>
      <c r="B945" s="94"/>
      <c r="C945" s="94"/>
      <c r="D945" s="94"/>
      <c r="E945" s="94"/>
      <c r="F945" s="94"/>
      <c r="G945" s="94"/>
      <c r="H945" s="94"/>
      <c r="I945" s="94"/>
      <c r="J945" s="94"/>
      <c r="K945" s="94"/>
      <c r="L945" s="94"/>
      <c r="M945" s="94"/>
      <c r="N945" s="94"/>
      <c r="O945" s="94"/>
      <c r="P945" s="94"/>
      <c r="Q945" s="94"/>
      <c r="R945" s="94"/>
      <c r="S945" s="94"/>
      <c r="T945" s="94"/>
      <c r="U945" s="94"/>
    </row>
    <row r="946" spans="1:21">
      <c r="A946" s="94"/>
      <c r="B946" s="94"/>
      <c r="C946" s="94"/>
      <c r="D946" s="94"/>
      <c r="E946" s="94"/>
      <c r="F946" s="94"/>
      <c r="G946" s="94"/>
      <c r="H946" s="94"/>
      <c r="I946" s="94"/>
      <c r="J946" s="94"/>
      <c r="K946" s="94"/>
      <c r="L946" s="94"/>
      <c r="M946" s="94"/>
      <c r="N946" s="94"/>
      <c r="O946" s="94"/>
      <c r="P946" s="94"/>
      <c r="Q946" s="94"/>
      <c r="R946" s="94"/>
      <c r="S946" s="94"/>
      <c r="T946" s="94"/>
      <c r="U946" s="94"/>
    </row>
    <row r="947" spans="1:21">
      <c r="A947" s="94"/>
      <c r="B947" s="94"/>
      <c r="C947" s="94"/>
      <c r="D947" s="94"/>
      <c r="E947" s="94"/>
      <c r="F947" s="94"/>
      <c r="G947" s="94"/>
      <c r="H947" s="94"/>
      <c r="I947" s="94"/>
      <c r="J947" s="94"/>
      <c r="K947" s="94"/>
      <c r="L947" s="94"/>
      <c r="M947" s="94"/>
      <c r="N947" s="94"/>
      <c r="O947" s="94"/>
      <c r="P947" s="94"/>
      <c r="Q947" s="94"/>
      <c r="R947" s="94"/>
      <c r="S947" s="94"/>
      <c r="T947" s="94"/>
      <c r="U947" s="94"/>
    </row>
    <row r="948" spans="1:21">
      <c r="A948" s="94"/>
      <c r="B948" s="94"/>
      <c r="C948" s="94"/>
      <c r="D948" s="94"/>
      <c r="E948" s="94"/>
      <c r="F948" s="94"/>
      <c r="G948" s="94"/>
      <c r="H948" s="94"/>
      <c r="I948" s="94"/>
      <c r="J948" s="94"/>
      <c r="K948" s="94"/>
      <c r="L948" s="94"/>
      <c r="M948" s="94"/>
      <c r="N948" s="94"/>
      <c r="O948" s="94"/>
      <c r="P948" s="94"/>
      <c r="Q948" s="94"/>
      <c r="R948" s="94"/>
      <c r="S948" s="94"/>
      <c r="T948" s="94"/>
      <c r="U948" s="94"/>
    </row>
    <row r="949" spans="1:21">
      <c r="A949" s="94"/>
      <c r="B949" s="94"/>
      <c r="C949" s="94"/>
      <c r="D949" s="94"/>
      <c r="E949" s="94"/>
      <c r="F949" s="94"/>
      <c r="G949" s="94"/>
      <c r="H949" s="94"/>
      <c r="I949" s="94"/>
      <c r="J949" s="94"/>
      <c r="K949" s="94"/>
      <c r="L949" s="94"/>
      <c r="M949" s="94"/>
      <c r="N949" s="94"/>
      <c r="O949" s="94"/>
      <c r="P949" s="94"/>
      <c r="Q949" s="94"/>
      <c r="R949" s="94"/>
      <c r="S949" s="94"/>
      <c r="T949" s="94"/>
      <c r="U949" s="94"/>
    </row>
    <row r="950" spans="1:21">
      <c r="A950" s="94"/>
      <c r="B950" s="94"/>
      <c r="C950" s="94"/>
      <c r="D950" s="94"/>
      <c r="E950" s="94"/>
      <c r="F950" s="94"/>
      <c r="G950" s="94"/>
      <c r="H950" s="94"/>
      <c r="I950" s="94"/>
      <c r="J950" s="94"/>
      <c r="K950" s="94"/>
      <c r="L950" s="94"/>
      <c r="M950" s="94"/>
      <c r="N950" s="94"/>
      <c r="O950" s="94"/>
      <c r="P950" s="94"/>
      <c r="Q950" s="94"/>
      <c r="R950" s="94"/>
      <c r="S950" s="94"/>
      <c r="T950" s="94"/>
      <c r="U950" s="94"/>
    </row>
    <row r="951" spans="1:21">
      <c r="A951" s="94"/>
      <c r="B951" s="94"/>
      <c r="C951" s="94"/>
      <c r="D951" s="94"/>
      <c r="E951" s="94"/>
      <c r="F951" s="94"/>
      <c r="G951" s="94"/>
      <c r="H951" s="94"/>
      <c r="I951" s="94"/>
      <c r="J951" s="94"/>
      <c r="K951" s="94"/>
      <c r="L951" s="94"/>
      <c r="M951" s="94"/>
      <c r="N951" s="94"/>
      <c r="O951" s="94"/>
      <c r="P951" s="94"/>
      <c r="Q951" s="94"/>
      <c r="R951" s="94"/>
      <c r="S951" s="94"/>
      <c r="T951" s="94"/>
      <c r="U951" s="94"/>
    </row>
    <row r="952" spans="1:21">
      <c r="A952" s="94"/>
      <c r="B952" s="94"/>
      <c r="C952" s="94"/>
      <c r="D952" s="94"/>
      <c r="E952" s="94"/>
      <c r="F952" s="94"/>
      <c r="G952" s="94"/>
      <c r="H952" s="94"/>
      <c r="I952" s="94"/>
      <c r="J952" s="94"/>
      <c r="K952" s="94"/>
      <c r="L952" s="94"/>
      <c r="M952" s="94"/>
      <c r="N952" s="94"/>
      <c r="O952" s="94"/>
      <c r="P952" s="94"/>
      <c r="Q952" s="94"/>
      <c r="R952" s="94"/>
      <c r="S952" s="94"/>
      <c r="T952" s="94"/>
      <c r="U952" s="94"/>
    </row>
    <row r="953" spans="1:21">
      <c r="A953" s="94"/>
      <c r="B953" s="94"/>
      <c r="C953" s="94"/>
      <c r="D953" s="94"/>
      <c r="E953" s="94"/>
      <c r="F953" s="94"/>
      <c r="G953" s="94"/>
      <c r="H953" s="94"/>
      <c r="I953" s="94"/>
      <c r="J953" s="94"/>
      <c r="K953" s="94"/>
      <c r="L953" s="94"/>
      <c r="M953" s="94"/>
      <c r="N953" s="94"/>
      <c r="O953" s="94"/>
      <c r="P953" s="94"/>
      <c r="Q953" s="94"/>
      <c r="R953" s="94"/>
      <c r="S953" s="94"/>
      <c r="T953" s="94"/>
      <c r="U953" s="94"/>
    </row>
    <row r="954" spans="1:21">
      <c r="A954" s="94"/>
      <c r="B954" s="94"/>
      <c r="C954" s="94"/>
      <c r="D954" s="94"/>
      <c r="E954" s="94"/>
      <c r="F954" s="94"/>
      <c r="G954" s="94"/>
      <c r="H954" s="94"/>
      <c r="I954" s="94"/>
      <c r="J954" s="94"/>
      <c r="K954" s="94"/>
      <c r="L954" s="94"/>
      <c r="M954" s="94"/>
      <c r="N954" s="94"/>
      <c r="O954" s="94"/>
      <c r="P954" s="94"/>
      <c r="Q954" s="94"/>
      <c r="R954" s="94"/>
      <c r="S954" s="94"/>
      <c r="T954" s="94"/>
      <c r="U954" s="94"/>
    </row>
    <row r="955" spans="1:21">
      <c r="A955" s="94"/>
      <c r="B955" s="94"/>
      <c r="C955" s="94"/>
      <c r="D955" s="94"/>
      <c r="E955" s="94"/>
      <c r="F955" s="94"/>
      <c r="G955" s="94"/>
      <c r="H955" s="94"/>
      <c r="I955" s="94"/>
      <c r="J955" s="94"/>
      <c r="K955" s="94"/>
      <c r="L955" s="94"/>
      <c r="M955" s="94"/>
      <c r="N955" s="94"/>
      <c r="O955" s="94"/>
      <c r="P955" s="94"/>
      <c r="Q955" s="94"/>
      <c r="R955" s="94"/>
      <c r="S955" s="94"/>
      <c r="T955" s="94"/>
      <c r="U955" s="94"/>
    </row>
    <row r="956" spans="1:21">
      <c r="A956" s="94"/>
      <c r="B956" s="94"/>
      <c r="C956" s="94"/>
      <c r="D956" s="94"/>
      <c r="E956" s="94"/>
      <c r="F956" s="94"/>
      <c r="G956" s="94"/>
      <c r="H956" s="94"/>
      <c r="I956" s="94"/>
      <c r="J956" s="94"/>
      <c r="K956" s="94"/>
      <c r="L956" s="94"/>
      <c r="M956" s="94"/>
      <c r="N956" s="94"/>
      <c r="O956" s="94"/>
      <c r="P956" s="94"/>
      <c r="Q956" s="94"/>
      <c r="R956" s="94"/>
      <c r="S956" s="94"/>
      <c r="T956" s="94"/>
      <c r="U956" s="94"/>
    </row>
    <row r="957" spans="1:21">
      <c r="A957" s="94"/>
      <c r="B957" s="94"/>
      <c r="C957" s="94"/>
      <c r="D957" s="94"/>
      <c r="E957" s="94"/>
      <c r="F957" s="94"/>
      <c r="G957" s="94"/>
      <c r="H957" s="94"/>
      <c r="I957" s="94"/>
      <c r="J957" s="94"/>
      <c r="K957" s="94"/>
      <c r="L957" s="94"/>
      <c r="M957" s="94"/>
      <c r="N957" s="94"/>
      <c r="O957" s="94"/>
      <c r="P957" s="94"/>
      <c r="Q957" s="94"/>
      <c r="R957" s="94"/>
      <c r="S957" s="94"/>
      <c r="T957" s="94"/>
      <c r="U957" s="94"/>
    </row>
    <row r="958" spans="1:21">
      <c r="A958" s="94"/>
      <c r="B958" s="94"/>
      <c r="C958" s="94"/>
      <c r="D958" s="94"/>
      <c r="E958" s="94"/>
      <c r="F958" s="94"/>
      <c r="G958" s="94"/>
      <c r="H958" s="94"/>
      <c r="I958" s="94"/>
      <c r="J958" s="94"/>
      <c r="K958" s="94"/>
      <c r="L958" s="94"/>
      <c r="M958" s="94"/>
      <c r="N958" s="94"/>
      <c r="O958" s="94"/>
      <c r="P958" s="94"/>
      <c r="Q958" s="94"/>
      <c r="R958" s="94"/>
      <c r="S958" s="94"/>
      <c r="T958" s="94"/>
      <c r="U958" s="94"/>
    </row>
    <row r="959" spans="1:21">
      <c r="A959" s="94"/>
      <c r="B959" s="94"/>
      <c r="C959" s="94"/>
      <c r="D959" s="94"/>
      <c r="E959" s="94"/>
      <c r="F959" s="94"/>
      <c r="G959" s="94"/>
      <c r="H959" s="94"/>
      <c r="I959" s="94"/>
      <c r="J959" s="94"/>
      <c r="K959" s="94"/>
      <c r="L959" s="94"/>
      <c r="M959" s="94"/>
      <c r="N959" s="94"/>
      <c r="O959" s="94"/>
      <c r="P959" s="94"/>
      <c r="Q959" s="94"/>
      <c r="R959" s="94"/>
      <c r="S959" s="94"/>
      <c r="T959" s="94"/>
      <c r="U959" s="94"/>
    </row>
    <row r="960" spans="1:21">
      <c r="A960" s="94"/>
      <c r="B960" s="94"/>
      <c r="C960" s="94"/>
      <c r="D960" s="94"/>
      <c r="E960" s="94"/>
      <c r="F960" s="94"/>
      <c r="G960" s="94"/>
      <c r="H960" s="94"/>
      <c r="I960" s="94"/>
      <c r="J960" s="94"/>
      <c r="K960" s="94"/>
      <c r="L960" s="94"/>
      <c r="M960" s="94"/>
      <c r="N960" s="94"/>
      <c r="O960" s="94"/>
      <c r="P960" s="94"/>
      <c r="Q960" s="94"/>
      <c r="R960" s="94"/>
      <c r="S960" s="94"/>
      <c r="T960" s="94"/>
      <c r="U960" s="94"/>
    </row>
    <row r="961" spans="1:21">
      <c r="A961" s="94"/>
      <c r="B961" s="94"/>
      <c r="C961" s="94"/>
      <c r="D961" s="94"/>
      <c r="E961" s="94"/>
      <c r="F961" s="94"/>
      <c r="G961" s="94"/>
      <c r="H961" s="94"/>
      <c r="I961" s="94"/>
      <c r="J961" s="94"/>
      <c r="K961" s="94"/>
      <c r="L961" s="94"/>
      <c r="M961" s="94"/>
      <c r="N961" s="94"/>
      <c r="O961" s="94"/>
      <c r="P961" s="94"/>
      <c r="Q961" s="94"/>
      <c r="R961" s="94"/>
      <c r="S961" s="94"/>
      <c r="T961" s="94"/>
      <c r="U961" s="94"/>
    </row>
    <row r="962" spans="1:21">
      <c r="A962" s="94"/>
      <c r="B962" s="94"/>
      <c r="C962" s="94"/>
      <c r="D962" s="94"/>
      <c r="E962" s="94"/>
      <c r="F962" s="94"/>
      <c r="G962" s="94"/>
      <c r="H962" s="94"/>
      <c r="I962" s="94"/>
      <c r="J962" s="94"/>
      <c r="K962" s="94"/>
      <c r="L962" s="94"/>
      <c r="M962" s="94"/>
      <c r="N962" s="94"/>
      <c r="O962" s="94"/>
      <c r="P962" s="94"/>
      <c r="Q962" s="94"/>
      <c r="R962" s="94"/>
      <c r="S962" s="94"/>
      <c r="T962" s="94"/>
      <c r="U962" s="94"/>
    </row>
    <row r="963" spans="1:21">
      <c r="A963" s="94"/>
      <c r="B963" s="94"/>
      <c r="C963" s="94"/>
      <c r="D963" s="94"/>
      <c r="E963" s="94"/>
      <c r="F963" s="94"/>
      <c r="G963" s="94"/>
      <c r="H963" s="94"/>
      <c r="I963" s="94"/>
      <c r="J963" s="94"/>
      <c r="K963" s="94"/>
      <c r="L963" s="94"/>
      <c r="M963" s="94"/>
      <c r="N963" s="94"/>
      <c r="O963" s="94"/>
      <c r="P963" s="94"/>
      <c r="Q963" s="94"/>
      <c r="R963" s="94"/>
      <c r="S963" s="94"/>
      <c r="T963" s="94"/>
      <c r="U963" s="94"/>
    </row>
    <row r="964" spans="1:21">
      <c r="A964" s="94"/>
      <c r="B964" s="94"/>
      <c r="C964" s="94"/>
      <c r="D964" s="94"/>
      <c r="E964" s="94"/>
      <c r="F964" s="94"/>
      <c r="G964" s="94"/>
      <c r="H964" s="94"/>
      <c r="I964" s="94"/>
      <c r="J964" s="94"/>
      <c r="K964" s="94"/>
      <c r="L964" s="94"/>
      <c r="M964" s="94"/>
      <c r="N964" s="94"/>
      <c r="O964" s="94"/>
      <c r="P964" s="94"/>
      <c r="Q964" s="94"/>
      <c r="R964" s="94"/>
      <c r="S964" s="94"/>
      <c r="T964" s="94"/>
      <c r="U964" s="94"/>
    </row>
    <row r="965" spans="1:21">
      <c r="A965" s="94"/>
      <c r="B965" s="94"/>
      <c r="C965" s="94"/>
      <c r="D965" s="94"/>
      <c r="E965" s="94"/>
      <c r="F965" s="94"/>
      <c r="G965" s="94"/>
      <c r="H965" s="94"/>
      <c r="I965" s="94"/>
      <c r="J965" s="94"/>
      <c r="K965" s="94"/>
      <c r="L965" s="94"/>
      <c r="M965" s="94"/>
      <c r="N965" s="94"/>
      <c r="O965" s="94"/>
      <c r="P965" s="94"/>
      <c r="Q965" s="94"/>
      <c r="R965" s="94"/>
      <c r="S965" s="94"/>
      <c r="T965" s="94"/>
      <c r="U965" s="94"/>
    </row>
    <row r="966" spans="1:21">
      <c r="A966" s="94"/>
      <c r="B966" s="94"/>
      <c r="C966" s="94"/>
      <c r="D966" s="94"/>
      <c r="E966" s="94"/>
      <c r="F966" s="94"/>
      <c r="G966" s="94"/>
      <c r="H966" s="94"/>
      <c r="I966" s="94"/>
      <c r="J966" s="94"/>
      <c r="K966" s="94"/>
      <c r="L966" s="94"/>
      <c r="M966" s="94"/>
      <c r="N966" s="94"/>
      <c r="O966" s="94"/>
      <c r="P966" s="94"/>
      <c r="Q966" s="94"/>
      <c r="R966" s="94"/>
      <c r="S966" s="94"/>
      <c r="T966" s="94"/>
      <c r="U966" s="94"/>
    </row>
    <row r="967" spans="1:21">
      <c r="A967" s="94"/>
      <c r="B967" s="94"/>
      <c r="C967" s="94"/>
      <c r="D967" s="94"/>
      <c r="E967" s="94"/>
      <c r="F967" s="94"/>
      <c r="G967" s="94"/>
      <c r="H967" s="94"/>
      <c r="I967" s="94"/>
      <c r="J967" s="94"/>
      <c r="K967" s="94"/>
      <c r="L967" s="94"/>
      <c r="M967" s="94"/>
      <c r="N967" s="94"/>
      <c r="O967" s="94"/>
      <c r="P967" s="94"/>
      <c r="Q967" s="94"/>
      <c r="R967" s="94"/>
      <c r="S967" s="94"/>
      <c r="T967" s="94"/>
      <c r="U967" s="94"/>
    </row>
    <row r="968" spans="1:21">
      <c r="A968" s="94"/>
      <c r="B968" s="94"/>
      <c r="C968" s="94"/>
      <c r="D968" s="94"/>
      <c r="E968" s="94"/>
      <c r="F968" s="94"/>
      <c r="G968" s="94"/>
      <c r="H968" s="94"/>
      <c r="I968" s="94"/>
      <c r="J968" s="94"/>
      <c r="K968" s="94"/>
      <c r="L968" s="94"/>
      <c r="M968" s="94"/>
      <c r="N968" s="94"/>
      <c r="O968" s="94"/>
      <c r="P968" s="94"/>
      <c r="Q968" s="94"/>
      <c r="R968" s="94"/>
      <c r="S968" s="94"/>
      <c r="T968" s="94"/>
      <c r="U968" s="94"/>
    </row>
    <row r="969" spans="1:21">
      <c r="A969" s="94"/>
      <c r="B969" s="94"/>
      <c r="C969" s="94"/>
      <c r="D969" s="94"/>
      <c r="E969" s="94"/>
      <c r="F969" s="94"/>
      <c r="G969" s="94"/>
      <c r="H969" s="94"/>
      <c r="I969" s="94"/>
      <c r="J969" s="94"/>
      <c r="K969" s="94"/>
      <c r="L969" s="94"/>
      <c r="M969" s="94"/>
      <c r="N969" s="94"/>
      <c r="O969" s="94"/>
      <c r="P969" s="94"/>
      <c r="Q969" s="94"/>
      <c r="R969" s="94"/>
      <c r="S969" s="94"/>
      <c r="T969" s="94"/>
      <c r="U969" s="94"/>
    </row>
    <row r="970" spans="1:21">
      <c r="A970" s="94"/>
      <c r="B970" s="94"/>
      <c r="C970" s="94"/>
      <c r="D970" s="94"/>
      <c r="E970" s="94"/>
      <c r="F970" s="94"/>
      <c r="G970" s="94"/>
      <c r="H970" s="94"/>
      <c r="I970" s="94"/>
      <c r="J970" s="94"/>
      <c r="K970" s="94"/>
      <c r="L970" s="94"/>
      <c r="M970" s="94"/>
      <c r="N970" s="94"/>
      <c r="O970" s="94"/>
      <c r="P970" s="94"/>
      <c r="Q970" s="94"/>
      <c r="R970" s="94"/>
      <c r="S970" s="94"/>
      <c r="T970" s="94"/>
      <c r="U970" s="94"/>
    </row>
    <row r="971" spans="1:21">
      <c r="A971" s="94"/>
      <c r="B971" s="94"/>
      <c r="C971" s="94"/>
      <c r="D971" s="94"/>
      <c r="E971" s="94"/>
      <c r="F971" s="94"/>
      <c r="G971" s="94"/>
      <c r="H971" s="94"/>
      <c r="I971" s="94"/>
      <c r="J971" s="94"/>
      <c r="K971" s="94"/>
      <c r="L971" s="94"/>
      <c r="M971" s="94"/>
      <c r="N971" s="94"/>
      <c r="O971" s="94"/>
      <c r="P971" s="94"/>
      <c r="Q971" s="94"/>
      <c r="R971" s="94"/>
      <c r="S971" s="94"/>
      <c r="T971" s="94"/>
      <c r="U971" s="94"/>
    </row>
    <row r="972" spans="1:21">
      <c r="A972" s="94"/>
      <c r="B972" s="94"/>
      <c r="C972" s="94"/>
      <c r="D972" s="94"/>
      <c r="E972" s="94"/>
      <c r="F972" s="94"/>
      <c r="G972" s="94"/>
      <c r="H972" s="94"/>
      <c r="I972" s="94"/>
      <c r="J972" s="94"/>
      <c r="K972" s="94"/>
      <c r="L972" s="94"/>
      <c r="M972" s="94"/>
      <c r="N972" s="94"/>
      <c r="O972" s="94"/>
      <c r="P972" s="94"/>
      <c r="Q972" s="94"/>
      <c r="R972" s="94"/>
      <c r="S972" s="94"/>
      <c r="T972" s="94"/>
      <c r="U972" s="94"/>
    </row>
  </sheetData>
  <mergeCells count="89">
    <mergeCell ref="E1:F1"/>
    <mergeCell ref="A4:A5"/>
    <mergeCell ref="B4:B5"/>
    <mergeCell ref="C4:C5"/>
    <mergeCell ref="D4:D5"/>
    <mergeCell ref="E4:E5"/>
    <mergeCell ref="A6:A68"/>
    <mergeCell ref="B6:B23"/>
    <mergeCell ref="C6:C23"/>
    <mergeCell ref="B24:B25"/>
    <mergeCell ref="C24:C25"/>
    <mergeCell ref="B26:B36"/>
    <mergeCell ref="C26:C36"/>
    <mergeCell ref="B37:B39"/>
    <mergeCell ref="C37:C39"/>
    <mergeCell ref="B40:B46"/>
    <mergeCell ref="C40:C46"/>
    <mergeCell ref="A69:A93"/>
    <mergeCell ref="B70:B74"/>
    <mergeCell ref="C70:C74"/>
    <mergeCell ref="B75:B78"/>
    <mergeCell ref="C75:C78"/>
    <mergeCell ref="B47:B56"/>
    <mergeCell ref="C47:C56"/>
    <mergeCell ref="B57:B66"/>
    <mergeCell ref="C57:C66"/>
    <mergeCell ref="B68:D68"/>
    <mergeCell ref="B79:B85"/>
    <mergeCell ref="C79:C85"/>
    <mergeCell ref="B86:B89"/>
    <mergeCell ref="C86:C89"/>
    <mergeCell ref="B93:D93"/>
    <mergeCell ref="B106:B110"/>
    <mergeCell ref="C106:C110"/>
    <mergeCell ref="B111:B113"/>
    <mergeCell ref="C111:C113"/>
    <mergeCell ref="B114:B118"/>
    <mergeCell ref="C114:C118"/>
    <mergeCell ref="B119:B120"/>
    <mergeCell ref="C119:C120"/>
    <mergeCell ref="B122:B125"/>
    <mergeCell ref="C122:C125"/>
    <mergeCell ref="B128:B130"/>
    <mergeCell ref="C128:C130"/>
    <mergeCell ref="B131:B132"/>
    <mergeCell ref="C131:C132"/>
    <mergeCell ref="B134:D134"/>
    <mergeCell ref="A135:A158"/>
    <mergeCell ref="B135:B136"/>
    <mergeCell ref="C135:C136"/>
    <mergeCell ref="B138:B144"/>
    <mergeCell ref="C138:C144"/>
    <mergeCell ref="B145:B146"/>
    <mergeCell ref="C145:C146"/>
    <mergeCell ref="A94:A134"/>
    <mergeCell ref="B94:B103"/>
    <mergeCell ref="C94:C103"/>
    <mergeCell ref="B104:B105"/>
    <mergeCell ref="C104:C105"/>
    <mergeCell ref="B147:B149"/>
    <mergeCell ref="C147:C149"/>
    <mergeCell ref="B150:B153"/>
    <mergeCell ref="C150:C153"/>
    <mergeCell ref="B158:D158"/>
    <mergeCell ref="B168:B172"/>
    <mergeCell ref="C168:C172"/>
    <mergeCell ref="B173:B179"/>
    <mergeCell ref="C173:C179"/>
    <mergeCell ref="B180:B183"/>
    <mergeCell ref="C180:C183"/>
    <mergeCell ref="B184:B186"/>
    <mergeCell ref="C184:C186"/>
    <mergeCell ref="B187:B192"/>
    <mergeCell ref="C187:C192"/>
    <mergeCell ref="B194:B199"/>
    <mergeCell ref="C194:C199"/>
    <mergeCell ref="B216:D216"/>
    <mergeCell ref="A217:D217"/>
    <mergeCell ref="B200:B201"/>
    <mergeCell ref="C200:C201"/>
    <mergeCell ref="B202:B203"/>
    <mergeCell ref="C202:C203"/>
    <mergeCell ref="B204:B206"/>
    <mergeCell ref="C204:C206"/>
    <mergeCell ref="A159:A216"/>
    <mergeCell ref="B159:B162"/>
    <mergeCell ref="C159:C162"/>
    <mergeCell ref="B163:B167"/>
    <mergeCell ref="C163:C167"/>
  </mergeCell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sheetPr>
    <outlinePr summaryBelow="0" summaryRight="0"/>
  </sheetPr>
  <dimension ref="A1:C17"/>
  <sheetViews>
    <sheetView tabSelected="1" workbookViewId="0">
      <selection activeCell="K10" sqref="K10"/>
    </sheetView>
  </sheetViews>
  <sheetFormatPr defaultColWidth="14.42578125" defaultRowHeight="15" customHeight="1"/>
  <cols>
    <col min="1" max="1" width="38.85546875" style="31" customWidth="1"/>
    <col min="2" max="2" width="33.140625" hidden="1" customWidth="1"/>
    <col min="3" max="3" width="33.140625" style="467" customWidth="1"/>
  </cols>
  <sheetData>
    <row r="1" spans="1:3" ht="51" customHeight="1">
      <c r="A1" s="28" t="s">
        <v>1175</v>
      </c>
      <c r="B1" s="27" t="s">
        <v>1192</v>
      </c>
      <c r="C1" s="463" t="s">
        <v>1250</v>
      </c>
    </row>
    <row r="2" spans="1:3" ht="28.5">
      <c r="A2" s="29" t="s">
        <v>1176</v>
      </c>
      <c r="B2" s="32">
        <f>TVM!X217</f>
        <v>11552.498549999997</v>
      </c>
      <c r="C2" s="464">
        <f>B2/100</f>
        <v>115.52498549999997</v>
      </c>
    </row>
    <row r="3" spans="1:3" ht="28.5">
      <c r="A3" s="30" t="s">
        <v>1177</v>
      </c>
      <c r="B3" s="33">
        <f>KLM!X217</f>
        <v>7109.3158179999991</v>
      </c>
      <c r="C3" s="465">
        <f t="shared" ref="C3:C17" si="0">B3/100</f>
        <v>71.093158179999989</v>
      </c>
    </row>
    <row r="4" spans="1:3" ht="28.5">
      <c r="A4" s="29" t="s">
        <v>1178</v>
      </c>
      <c r="B4" s="32">
        <f>PTA!X217</f>
        <v>4524.5223447999997</v>
      </c>
      <c r="C4" s="464">
        <f t="shared" si="0"/>
        <v>45.245223447999997</v>
      </c>
    </row>
    <row r="5" spans="1:3" ht="28.5">
      <c r="A5" s="30" t="s">
        <v>1179</v>
      </c>
      <c r="B5" s="33">
        <f>ALP!X217</f>
        <v>6592.4625248000002</v>
      </c>
      <c r="C5" s="465">
        <f t="shared" si="0"/>
        <v>65.924625247999998</v>
      </c>
    </row>
    <row r="6" spans="1:3" ht="28.5">
      <c r="A6" s="29" t="s">
        <v>1180</v>
      </c>
      <c r="B6" s="32">
        <f>KTM!X217</f>
        <v>5812.4785760000004</v>
      </c>
      <c r="C6" s="464">
        <f t="shared" si="0"/>
        <v>58.124785760000002</v>
      </c>
    </row>
    <row r="7" spans="1:3" ht="28.5">
      <c r="A7" s="30" t="s">
        <v>1181</v>
      </c>
      <c r="B7" s="33">
        <f>IDK!X217</f>
        <v>4968.736038</v>
      </c>
      <c r="C7" s="465">
        <f t="shared" si="0"/>
        <v>49.687360380000001</v>
      </c>
    </row>
    <row r="8" spans="1:3" ht="25.5" customHeight="1">
      <c r="A8" s="29" t="s">
        <v>1182</v>
      </c>
      <c r="B8" s="32">
        <f>EKM!X217</f>
        <v>9497.8994899999998</v>
      </c>
      <c r="C8" s="464">
        <f t="shared" si="0"/>
        <v>94.978994900000004</v>
      </c>
    </row>
    <row r="9" spans="1:3" ht="28.5">
      <c r="A9" s="30" t="s">
        <v>1183</v>
      </c>
      <c r="B9" s="33">
        <f>TSR!X217</f>
        <v>8214.8572800000002</v>
      </c>
      <c r="C9" s="465">
        <f t="shared" si="0"/>
        <v>82.148572799999997</v>
      </c>
    </row>
    <row r="10" spans="1:3" ht="28.5">
      <c r="A10" s="29" t="s">
        <v>1184</v>
      </c>
      <c r="B10" s="32">
        <f>PLKD!X217</f>
        <v>7911.8246799999997</v>
      </c>
      <c r="C10" s="464">
        <f t="shared" si="0"/>
        <v>79.118246799999994</v>
      </c>
    </row>
    <row r="11" spans="1:3" ht="28.5">
      <c r="A11" s="30" t="s">
        <v>1185</v>
      </c>
      <c r="B11" s="33">
        <f>MLPM!X217</f>
        <v>11308.262639999997</v>
      </c>
      <c r="C11" s="465">
        <f t="shared" si="0"/>
        <v>113.08262639999997</v>
      </c>
    </row>
    <row r="12" spans="1:3" ht="28.5">
      <c r="A12" s="29" t="s">
        <v>1186</v>
      </c>
      <c r="B12" s="32">
        <f>KKD!X217</f>
        <v>8504.2146100000009</v>
      </c>
      <c r="C12" s="464">
        <f t="shared" si="0"/>
        <v>85.042146100000011</v>
      </c>
    </row>
    <row r="13" spans="1:3" ht="26.25" customHeight="1">
      <c r="A13" s="30" t="s">
        <v>1187</v>
      </c>
      <c r="B13" s="33">
        <f>WYND!X217</f>
        <v>4230.9622800000016</v>
      </c>
      <c r="C13" s="465">
        <f t="shared" si="0"/>
        <v>42.309622800000014</v>
      </c>
    </row>
    <row r="14" spans="1:3" ht="27" customHeight="1">
      <c r="A14" s="29" t="s">
        <v>1188</v>
      </c>
      <c r="B14" s="32">
        <f>KNR!X217</f>
        <v>7702.2177999999976</v>
      </c>
      <c r="C14" s="464">
        <f t="shared" si="0"/>
        <v>77.022177999999982</v>
      </c>
    </row>
    <row r="15" spans="1:3" ht="28.5">
      <c r="A15" s="30" t="s">
        <v>1189</v>
      </c>
      <c r="B15" s="33">
        <f>KSRGD!X217</f>
        <v>4608.0497100000002</v>
      </c>
      <c r="C15" s="465">
        <f t="shared" si="0"/>
        <v>46.080497100000002</v>
      </c>
    </row>
    <row r="16" spans="1:3" ht="28.5">
      <c r="A16" s="29" t="s">
        <v>1190</v>
      </c>
      <c r="B16" s="32">
        <f>SHS!X217</f>
        <v>52025.969395200002</v>
      </c>
      <c r="C16" s="464">
        <f t="shared" si="0"/>
        <v>520.25969395200002</v>
      </c>
    </row>
    <row r="17" spans="1:3" ht="28.5">
      <c r="A17" s="30" t="s">
        <v>1191</v>
      </c>
      <c r="B17" s="34">
        <f>SUM(B2:B16)</f>
        <v>154564.2717368</v>
      </c>
      <c r="C17" s="466">
        <f t="shared" si="0"/>
        <v>1545.6427173679999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Y972"/>
  <sheetViews>
    <sheetView workbookViewId="0">
      <pane xSplit="4" ySplit="5" topLeftCell="E212" activePane="bottomRight" state="frozen"/>
      <selection pane="topRight" activeCell="E1" sqref="E1"/>
      <selection pane="bottomLeft" activeCell="A6" sqref="A6"/>
      <selection pane="bottomRight" activeCell="H214" sqref="H214"/>
    </sheetView>
  </sheetViews>
  <sheetFormatPr defaultColWidth="14.42578125" defaultRowHeight="15" customHeight="1"/>
  <cols>
    <col min="1" max="1" width="5.140625" style="111" customWidth="1"/>
    <col min="2" max="2" width="7" style="111" customWidth="1"/>
    <col min="3" max="3" width="9" style="111" customWidth="1"/>
    <col min="4" max="4" width="8.140625" style="111" customWidth="1"/>
    <col min="5" max="5" width="21.42578125" style="111" customWidth="1"/>
    <col min="6" max="6" width="9.28515625" style="111" customWidth="1"/>
    <col min="7" max="7" width="9.140625" style="111" hidden="1" customWidth="1"/>
    <col min="8" max="8" width="7.42578125" style="111" customWidth="1"/>
    <col min="9" max="10" width="8.140625" style="111" customWidth="1"/>
    <col min="11" max="11" width="8.42578125" style="111" hidden="1" customWidth="1"/>
    <col min="12" max="12" width="10.5703125" style="111" customWidth="1"/>
    <col min="13" max="13" width="15.42578125" style="111" hidden="1" customWidth="1"/>
    <col min="14" max="14" width="10" style="111" customWidth="1"/>
    <col min="15" max="15" width="10.140625" style="111" customWidth="1"/>
    <col min="16" max="16" width="9.28515625" style="111" customWidth="1"/>
    <col min="17" max="17" width="19.140625" style="111" hidden="1" customWidth="1"/>
    <col min="18" max="18" width="9.5703125" style="111" customWidth="1"/>
    <col min="19" max="19" width="20.85546875" style="111" hidden="1" customWidth="1"/>
    <col min="20" max="20" width="10.5703125" style="111" customWidth="1"/>
    <col min="21" max="21" width="20.7109375" style="111" hidden="1" customWidth="1"/>
    <col min="22" max="22" width="9.85546875" style="111" customWidth="1"/>
    <col min="23" max="23" width="12.140625" style="111" hidden="1" customWidth="1"/>
    <col min="24" max="24" width="9.42578125" style="111" customWidth="1"/>
    <col min="25" max="25" width="49.140625" style="157"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9"/>
    </row>
    <row r="3" spans="1:25" ht="42.75" customHeight="1">
      <c r="A3" s="38"/>
      <c r="B3" s="112"/>
      <c r="C3" s="112"/>
      <c r="D3" s="112"/>
      <c r="E3" s="112" t="s">
        <v>333</v>
      </c>
      <c r="F3" s="112"/>
      <c r="G3" s="112"/>
      <c r="H3" s="112"/>
      <c r="I3" s="112"/>
      <c r="J3" s="112"/>
      <c r="K3" s="112"/>
      <c r="L3" s="112"/>
      <c r="M3" s="112"/>
      <c r="N3" s="112"/>
      <c r="O3" s="112"/>
      <c r="P3" s="112"/>
      <c r="Q3" s="112"/>
      <c r="R3" s="112"/>
      <c r="S3" s="112"/>
      <c r="T3" s="112"/>
      <c r="U3" s="112"/>
      <c r="V3" s="112"/>
      <c r="W3" s="113"/>
      <c r="X3" s="470" t="s">
        <v>2</v>
      </c>
      <c r="Y3" s="471"/>
    </row>
    <row r="4" spans="1:25" ht="96"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60"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39" customHeight="1">
      <c r="A6" s="477" t="s">
        <v>24</v>
      </c>
      <c r="B6" s="476" t="s">
        <v>25</v>
      </c>
      <c r="C6" s="476" t="s">
        <v>26</v>
      </c>
      <c r="D6" s="106">
        <v>1</v>
      </c>
      <c r="E6" s="223"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7"/>
    </row>
    <row r="7" spans="1:25" ht="63">
      <c r="A7" s="469"/>
      <c r="B7" s="469"/>
      <c r="C7" s="469"/>
      <c r="D7" s="106">
        <v>2</v>
      </c>
      <c r="E7" s="115" t="s">
        <v>28</v>
      </c>
      <c r="F7" s="116"/>
      <c r="G7" s="116"/>
      <c r="H7" s="116"/>
      <c r="I7" s="116"/>
      <c r="J7" s="116">
        <f t="shared" si="0"/>
        <v>0</v>
      </c>
      <c r="K7" s="116"/>
      <c r="L7" s="116"/>
      <c r="M7" s="116"/>
      <c r="N7" s="116"/>
      <c r="O7" s="119"/>
      <c r="P7" s="117">
        <f t="shared" si="1"/>
        <v>0</v>
      </c>
      <c r="Q7" s="127"/>
      <c r="R7" s="120"/>
      <c r="S7" s="121"/>
      <c r="T7" s="121"/>
      <c r="U7" s="116"/>
      <c r="V7" s="116"/>
      <c r="W7" s="117"/>
      <c r="X7" s="117">
        <f t="shared" si="2"/>
        <v>0</v>
      </c>
      <c r="Y7" s="97"/>
    </row>
    <row r="8" spans="1:25" ht="141.75">
      <c r="A8" s="469"/>
      <c r="B8" s="469"/>
      <c r="C8" s="469"/>
      <c r="D8" s="106">
        <v>3</v>
      </c>
      <c r="E8" s="106" t="s">
        <v>29</v>
      </c>
      <c r="F8" s="121">
        <v>46.217239999999997</v>
      </c>
      <c r="G8" s="120"/>
      <c r="H8" s="120"/>
      <c r="I8" s="120"/>
      <c r="J8" s="116">
        <f t="shared" si="0"/>
        <v>0</v>
      </c>
      <c r="K8" s="120"/>
      <c r="L8" s="120"/>
      <c r="M8" s="120"/>
      <c r="N8" s="120"/>
      <c r="O8" s="120"/>
      <c r="P8" s="116">
        <f t="shared" si="1"/>
        <v>0</v>
      </c>
      <c r="Q8" s="120"/>
      <c r="R8" s="120"/>
      <c r="S8" s="120"/>
      <c r="T8" s="120"/>
      <c r="U8" s="116"/>
      <c r="V8" s="116"/>
      <c r="W8" s="117"/>
      <c r="X8" s="117">
        <f t="shared" si="2"/>
        <v>46.217239999999997</v>
      </c>
      <c r="Y8" s="97" t="s">
        <v>828</v>
      </c>
    </row>
    <row r="9" spans="1:25" ht="299.25" customHeight="1">
      <c r="A9" s="469"/>
      <c r="B9" s="469"/>
      <c r="C9" s="469"/>
      <c r="D9" s="106">
        <v>4</v>
      </c>
      <c r="E9" s="106" t="s">
        <v>30</v>
      </c>
      <c r="F9" s="116"/>
      <c r="G9" s="116"/>
      <c r="H9" s="116"/>
      <c r="I9" s="116"/>
      <c r="J9" s="116">
        <f t="shared" si="0"/>
        <v>0</v>
      </c>
      <c r="K9" s="116"/>
      <c r="L9" s="116"/>
      <c r="M9" s="116"/>
      <c r="N9" s="116"/>
      <c r="O9" s="116">
        <v>66.254499999999993</v>
      </c>
      <c r="P9" s="116">
        <f t="shared" si="1"/>
        <v>66.254499999999993</v>
      </c>
      <c r="Q9" s="122"/>
      <c r="R9" s="123">
        <v>54.283000000000001</v>
      </c>
      <c r="S9" s="121"/>
      <c r="T9" s="168">
        <v>87.063599999999994</v>
      </c>
      <c r="U9" s="167"/>
      <c r="V9" s="167"/>
      <c r="W9" s="163"/>
      <c r="X9" s="117">
        <f t="shared" si="2"/>
        <v>207.60109999999997</v>
      </c>
      <c r="Y9" s="97" t="s">
        <v>1222</v>
      </c>
    </row>
    <row r="10" spans="1:25" ht="66.7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243">
        <v>47.683999999999997</v>
      </c>
      <c r="U10" s="167"/>
      <c r="V10" s="167"/>
      <c r="W10" s="163"/>
      <c r="X10" s="117">
        <f t="shared" si="2"/>
        <v>47.683999999999997</v>
      </c>
      <c r="Y10" s="97" t="s">
        <v>829</v>
      </c>
    </row>
    <row r="11" spans="1:25" ht="173.25" customHeight="1">
      <c r="A11" s="469"/>
      <c r="B11" s="469"/>
      <c r="C11" s="469"/>
      <c r="D11" s="106">
        <v>6</v>
      </c>
      <c r="E11" s="106" t="s">
        <v>32</v>
      </c>
      <c r="F11" s="118">
        <v>1.3</v>
      </c>
      <c r="G11" s="120"/>
      <c r="H11" s="120"/>
      <c r="I11" s="120"/>
      <c r="J11" s="116">
        <f t="shared" si="0"/>
        <v>0</v>
      </c>
      <c r="K11" s="120"/>
      <c r="L11" s="120"/>
      <c r="M11" s="120"/>
      <c r="N11" s="120"/>
      <c r="O11" s="120"/>
      <c r="P11" s="116">
        <f t="shared" si="1"/>
        <v>0</v>
      </c>
      <c r="Q11" s="120"/>
      <c r="R11" s="120"/>
      <c r="S11" s="121"/>
      <c r="T11" s="244">
        <v>2.1800000000000002</v>
      </c>
      <c r="U11" s="120"/>
      <c r="V11" s="120"/>
      <c r="W11" s="117"/>
      <c r="X11" s="117">
        <f t="shared" si="2"/>
        <v>3.4800000000000004</v>
      </c>
      <c r="Y11" s="97" t="s">
        <v>830</v>
      </c>
    </row>
    <row r="12" spans="1:25" ht="47.2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7"/>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7"/>
    </row>
    <row r="14" spans="1:25" ht="69.7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18">
        <v>0.05</v>
      </c>
      <c r="U14" s="121"/>
      <c r="V14" s="121"/>
      <c r="W14" s="117"/>
      <c r="X14" s="117">
        <f t="shared" si="2"/>
        <v>0.05</v>
      </c>
      <c r="Y14" s="97" t="s">
        <v>819</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7"/>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7"/>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7"/>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7"/>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7"/>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7"/>
    </row>
    <row r="21" spans="1:25" ht="63">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7"/>
    </row>
    <row r="22" spans="1:25" ht="31.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7"/>
    </row>
    <row r="23" spans="1:25" ht="47.25">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7"/>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7"/>
    </row>
    <row r="25" spans="1:25" ht="78.75">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7"/>
    </row>
    <row r="26" spans="1:25" ht="109.5" customHeight="1">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19.236000000000001</v>
      </c>
      <c r="U26" s="97"/>
      <c r="V26" s="120"/>
      <c r="W26" s="117"/>
      <c r="X26" s="117">
        <f t="shared" si="2"/>
        <v>19.236000000000001</v>
      </c>
      <c r="Y26" s="135" t="s">
        <v>334</v>
      </c>
    </row>
    <row r="27" spans="1:25" ht="134.25" customHeight="1">
      <c r="A27" s="469"/>
      <c r="B27" s="469"/>
      <c r="C27" s="469"/>
      <c r="D27" s="106">
        <v>22</v>
      </c>
      <c r="E27" s="106" t="s">
        <v>52</v>
      </c>
      <c r="F27" s="121"/>
      <c r="G27" s="120"/>
      <c r="H27" s="120"/>
      <c r="I27" s="121"/>
      <c r="J27" s="125">
        <f t="shared" si="0"/>
        <v>0</v>
      </c>
      <c r="K27" s="129"/>
      <c r="L27" s="129">
        <v>5.665</v>
      </c>
      <c r="M27" s="115" t="s">
        <v>53</v>
      </c>
      <c r="N27" s="120"/>
      <c r="O27" s="120"/>
      <c r="P27" s="116">
        <f t="shared" si="1"/>
        <v>0</v>
      </c>
      <c r="Q27" s="121"/>
      <c r="R27" s="121">
        <v>1</v>
      </c>
      <c r="S27" s="125"/>
      <c r="T27" s="121">
        <v>137.20609999999999</v>
      </c>
      <c r="U27" s="115"/>
      <c r="V27" s="120"/>
      <c r="W27" s="117"/>
      <c r="X27" s="117">
        <f t="shared" si="2"/>
        <v>143.87109999999998</v>
      </c>
      <c r="Y27" s="97" t="s">
        <v>721</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245"/>
    </row>
    <row r="29" spans="1:25" ht="156" customHeight="1">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4.3499999999999996</v>
      </c>
      <c r="U29" s="128"/>
      <c r="V29" s="120"/>
      <c r="W29" s="117"/>
      <c r="X29" s="117">
        <f t="shared" si="2"/>
        <v>4.3499999999999996</v>
      </c>
      <c r="Y29" s="135" t="s">
        <v>722</v>
      </c>
    </row>
    <row r="30" spans="1:25" ht="362.2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0.59399999999999997</v>
      </c>
      <c r="U30" s="115"/>
      <c r="V30" s="120"/>
      <c r="W30" s="117"/>
      <c r="X30" s="117">
        <f t="shared" si="2"/>
        <v>0.59399999999999997</v>
      </c>
      <c r="Y30" s="97" t="s">
        <v>723</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97"/>
    </row>
    <row r="32" spans="1:25" ht="47.25" customHeight="1">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1</v>
      </c>
      <c r="U32" s="131"/>
      <c r="V32" s="120"/>
      <c r="W32" s="117"/>
      <c r="X32" s="117">
        <f t="shared" si="2"/>
        <v>1</v>
      </c>
      <c r="Y32" s="135" t="s">
        <v>794</v>
      </c>
    </row>
    <row r="33" spans="1:25" ht="66" customHeight="1">
      <c r="A33" s="469"/>
      <c r="B33" s="469"/>
      <c r="C33" s="469"/>
      <c r="D33" s="106">
        <v>28</v>
      </c>
      <c r="E33" s="106" t="s">
        <v>30</v>
      </c>
      <c r="F33" s="120"/>
      <c r="G33" s="120"/>
      <c r="H33" s="120"/>
      <c r="I33" s="120"/>
      <c r="J33" s="116">
        <f t="shared" si="0"/>
        <v>0</v>
      </c>
      <c r="K33" s="120"/>
      <c r="L33" s="120"/>
      <c r="M33" s="120"/>
      <c r="N33" s="120"/>
      <c r="O33" s="122">
        <v>4.8837000000000002</v>
      </c>
      <c r="P33" s="117">
        <f t="shared" si="1"/>
        <v>4.8837000000000002</v>
      </c>
      <c r="Q33" s="97"/>
      <c r="R33" s="122">
        <v>4.8837000000000002</v>
      </c>
      <c r="S33" s="97"/>
      <c r="T33" s="120">
        <v>0</v>
      </c>
      <c r="U33" s="128"/>
      <c r="V33" s="120"/>
      <c r="W33" s="117"/>
      <c r="X33" s="117">
        <f t="shared" si="2"/>
        <v>9.7674000000000003</v>
      </c>
      <c r="Y33" s="135" t="s">
        <v>724</v>
      </c>
    </row>
    <row r="34" spans="1:25" ht="48" customHeight="1">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17.092949999999998</v>
      </c>
      <c r="U34" s="97"/>
      <c r="V34" s="120"/>
      <c r="W34" s="117"/>
      <c r="X34" s="117">
        <f t="shared" si="2"/>
        <v>17.092949999999998</v>
      </c>
      <c r="Y34" s="135" t="s">
        <v>725</v>
      </c>
    </row>
    <row r="35" spans="1:25" ht="31.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v>0</v>
      </c>
      <c r="U35" s="120"/>
      <c r="V35" s="120"/>
      <c r="W35" s="117"/>
      <c r="X35" s="117">
        <f t="shared" si="2"/>
        <v>0</v>
      </c>
      <c r="Y35" s="97"/>
    </row>
    <row r="36" spans="1:25" ht="47.2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7"/>
    </row>
    <row r="37" spans="1:25" ht="267.7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11.9872</v>
      </c>
      <c r="U37" s="246"/>
      <c r="V37" s="122"/>
      <c r="W37" s="117"/>
      <c r="X37" s="117">
        <f t="shared" si="2"/>
        <v>11.9872</v>
      </c>
      <c r="Y37" s="97" t="s">
        <v>1223</v>
      </c>
    </row>
    <row r="38" spans="1:25" ht="82.5" customHeight="1">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97"/>
    </row>
    <row r="39" spans="1:25" ht="39"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7"/>
    </row>
    <row r="40" spans="1:25" ht="157.5">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f>0.6+0.96+0.15</f>
        <v>1.71</v>
      </c>
      <c r="U40" s="116"/>
      <c r="V40" s="116"/>
      <c r="W40" s="117"/>
      <c r="X40" s="117">
        <f t="shared" si="2"/>
        <v>1.71</v>
      </c>
      <c r="Y40" s="97" t="s">
        <v>335</v>
      </c>
    </row>
    <row r="41" spans="1:25" ht="63">
      <c r="A41" s="469"/>
      <c r="B41" s="469"/>
      <c r="C41" s="469"/>
      <c r="D41" s="106">
        <v>36</v>
      </c>
      <c r="E41" s="223" t="s">
        <v>70</v>
      </c>
      <c r="F41" s="116"/>
      <c r="G41" s="116"/>
      <c r="H41" s="116"/>
      <c r="I41" s="116"/>
      <c r="J41" s="116">
        <f t="shared" si="0"/>
        <v>0</v>
      </c>
      <c r="K41" s="116"/>
      <c r="L41" s="116"/>
      <c r="M41" s="116"/>
      <c r="N41" s="116"/>
      <c r="O41" s="117"/>
      <c r="P41" s="117">
        <f t="shared" si="1"/>
        <v>0</v>
      </c>
      <c r="Q41" s="116"/>
      <c r="R41" s="116"/>
      <c r="S41" s="116"/>
      <c r="T41" s="116"/>
      <c r="U41" s="116"/>
      <c r="V41" s="116"/>
      <c r="W41" s="117"/>
      <c r="X41" s="117">
        <f t="shared" si="2"/>
        <v>0</v>
      </c>
      <c r="Y41" s="97"/>
    </row>
    <row r="42" spans="1:25" ht="31.5">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7"/>
    </row>
    <row r="43" spans="1:25" ht="110.25">
      <c r="A43" s="469"/>
      <c r="B43" s="469"/>
      <c r="C43" s="469"/>
      <c r="D43" s="106">
        <v>38</v>
      </c>
      <c r="E43" s="139" t="s">
        <v>72</v>
      </c>
      <c r="F43" s="116"/>
      <c r="G43" s="116"/>
      <c r="H43" s="116"/>
      <c r="I43" s="116"/>
      <c r="J43" s="116">
        <f t="shared" si="0"/>
        <v>0</v>
      </c>
      <c r="K43" s="116"/>
      <c r="L43" s="116"/>
      <c r="M43" s="116"/>
      <c r="N43" s="116"/>
      <c r="O43" s="116"/>
      <c r="P43" s="116">
        <f t="shared" si="1"/>
        <v>0</v>
      </c>
      <c r="Q43" s="116"/>
      <c r="R43" s="116"/>
      <c r="S43" s="125"/>
      <c r="T43" s="125">
        <f>1.2+0.5</f>
        <v>1.7</v>
      </c>
      <c r="U43" s="116"/>
      <c r="V43" s="116"/>
      <c r="W43" s="117"/>
      <c r="X43" s="117">
        <f t="shared" si="2"/>
        <v>1.7</v>
      </c>
      <c r="Y43" s="97" t="s">
        <v>336</v>
      </c>
    </row>
    <row r="44" spans="1:25" ht="63">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16"/>
      <c r="V44" s="116"/>
      <c r="W44" s="117"/>
      <c r="X44" s="117">
        <f t="shared" si="2"/>
        <v>0</v>
      </c>
      <c r="Y44" s="97"/>
    </row>
    <row r="45" spans="1:25" ht="78.75" customHeight="1">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(500*16*15)/100000</f>
        <v>1.2</v>
      </c>
      <c r="U45" s="116"/>
      <c r="V45" s="116"/>
      <c r="W45" s="117"/>
      <c r="X45" s="117">
        <f t="shared" si="2"/>
        <v>1.2</v>
      </c>
      <c r="Y45" s="97" t="s">
        <v>569</v>
      </c>
    </row>
    <row r="46" spans="1:25" ht="47.25">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7"/>
    </row>
    <row r="47" spans="1:25" ht="63">
      <c r="A47" s="469"/>
      <c r="B47" s="476" t="s">
        <v>76</v>
      </c>
      <c r="C47" s="476" t="s">
        <v>77</v>
      </c>
      <c r="D47" s="106">
        <v>42</v>
      </c>
      <c r="E47" s="106" t="s">
        <v>78</v>
      </c>
      <c r="F47" s="121">
        <v>6.97</v>
      </c>
      <c r="G47" s="120"/>
      <c r="H47" s="120"/>
      <c r="I47" s="120"/>
      <c r="J47" s="116">
        <f t="shared" si="0"/>
        <v>0</v>
      </c>
      <c r="K47" s="122"/>
      <c r="L47" s="122"/>
      <c r="M47" s="120"/>
      <c r="N47" s="120"/>
      <c r="O47" s="120"/>
      <c r="P47" s="116">
        <f t="shared" si="1"/>
        <v>0</v>
      </c>
      <c r="Q47" s="120"/>
      <c r="R47" s="120"/>
      <c r="S47" s="121"/>
      <c r="T47" s="121"/>
      <c r="U47" s="120"/>
      <c r="V47" s="120"/>
      <c r="W47" s="117"/>
      <c r="X47" s="117">
        <f t="shared" si="2"/>
        <v>6.97</v>
      </c>
      <c r="Y47" s="97" t="s">
        <v>931</v>
      </c>
    </row>
    <row r="48" spans="1:25" ht="33.75" customHeight="1">
      <c r="A48" s="469"/>
      <c r="B48" s="469"/>
      <c r="C48" s="469"/>
      <c r="D48" s="106">
        <v>43</v>
      </c>
      <c r="E48" s="106" t="s">
        <v>79</v>
      </c>
      <c r="F48" s="121">
        <v>0.17</v>
      </c>
      <c r="G48" s="120"/>
      <c r="H48" s="120"/>
      <c r="I48" s="120"/>
      <c r="J48" s="116">
        <f t="shared" si="0"/>
        <v>0</v>
      </c>
      <c r="K48" s="122"/>
      <c r="L48" s="122"/>
      <c r="M48" s="120"/>
      <c r="N48" s="120"/>
      <c r="O48" s="120"/>
      <c r="P48" s="116">
        <f t="shared" si="1"/>
        <v>0</v>
      </c>
      <c r="Q48" s="120"/>
      <c r="R48" s="120"/>
      <c r="S48" s="121"/>
      <c r="T48" s="121"/>
      <c r="U48" s="120"/>
      <c r="V48" s="120"/>
      <c r="W48" s="117"/>
      <c r="X48" s="117">
        <f t="shared" si="2"/>
        <v>0.17</v>
      </c>
      <c r="Y48" s="97" t="s">
        <v>932</v>
      </c>
    </row>
    <row r="49" spans="1:25" ht="71.25" customHeight="1">
      <c r="A49" s="469"/>
      <c r="B49" s="469"/>
      <c r="C49" s="469"/>
      <c r="D49" s="106">
        <v>44</v>
      </c>
      <c r="E49" s="106" t="s">
        <v>80</v>
      </c>
      <c r="F49" s="121">
        <v>0.16200000000000001</v>
      </c>
      <c r="G49" s="120"/>
      <c r="H49" s="120"/>
      <c r="I49" s="120"/>
      <c r="J49" s="116">
        <f t="shared" si="0"/>
        <v>0</v>
      </c>
      <c r="K49" s="122"/>
      <c r="L49" s="122"/>
      <c r="M49" s="120"/>
      <c r="N49" s="120"/>
      <c r="O49" s="120"/>
      <c r="P49" s="116">
        <f t="shared" si="1"/>
        <v>0</v>
      </c>
      <c r="Q49" s="120"/>
      <c r="R49" s="120"/>
      <c r="S49" s="121"/>
      <c r="T49" s="121"/>
      <c r="U49" s="120"/>
      <c r="V49" s="120"/>
      <c r="W49" s="117"/>
      <c r="X49" s="117">
        <f t="shared" si="2"/>
        <v>0.16200000000000001</v>
      </c>
      <c r="Y49" s="97" t="s">
        <v>884</v>
      </c>
    </row>
    <row r="50" spans="1:25" ht="63">
      <c r="A50" s="469"/>
      <c r="B50" s="469"/>
      <c r="C50" s="469"/>
      <c r="D50" s="106">
        <v>45</v>
      </c>
      <c r="E50" s="106" t="s">
        <v>81</v>
      </c>
      <c r="F50" s="121">
        <v>0.105</v>
      </c>
      <c r="G50" s="120"/>
      <c r="H50" s="120"/>
      <c r="I50" s="120"/>
      <c r="J50" s="116">
        <f t="shared" si="0"/>
        <v>0</v>
      </c>
      <c r="K50" s="120"/>
      <c r="L50" s="120"/>
      <c r="M50" s="120"/>
      <c r="N50" s="120"/>
      <c r="O50" s="120"/>
      <c r="P50" s="116">
        <f t="shared" si="1"/>
        <v>0</v>
      </c>
      <c r="Q50" s="120"/>
      <c r="R50" s="120"/>
      <c r="S50" s="120"/>
      <c r="T50" s="120"/>
      <c r="U50" s="120"/>
      <c r="V50" s="120"/>
      <c r="W50" s="117"/>
      <c r="X50" s="117">
        <f t="shared" si="2"/>
        <v>0.105</v>
      </c>
      <c r="Y50" s="97" t="s">
        <v>885</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7"/>
    </row>
    <row r="52" spans="1:25" ht="45" customHeight="1">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97"/>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97"/>
    </row>
    <row r="54" spans="1:25" ht="47.25">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97"/>
    </row>
    <row r="55" spans="1:25" ht="47.2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97"/>
    </row>
    <row r="56" spans="1:25" ht="47.2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7"/>
    </row>
    <row r="57" spans="1:25" ht="31.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97"/>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245"/>
    </row>
    <row r="59" spans="1:25" ht="157.5">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1</v>
      </c>
      <c r="U59" s="115"/>
      <c r="V59" s="120"/>
      <c r="W59" s="117"/>
      <c r="X59" s="117">
        <f t="shared" si="2"/>
        <v>1</v>
      </c>
      <c r="Y59" s="97" t="s">
        <v>801</v>
      </c>
    </row>
    <row r="60" spans="1:25" ht="31.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7"/>
    </row>
    <row r="61" spans="1:25" ht="31.5">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0"/>
      <c r="T61" s="120"/>
      <c r="U61" s="120"/>
      <c r="V61" s="120"/>
      <c r="W61" s="117"/>
      <c r="X61" s="117">
        <f t="shared" si="2"/>
        <v>0</v>
      </c>
      <c r="Y61" s="97"/>
    </row>
    <row r="62" spans="1:25" ht="47.25">
      <c r="A62" s="469"/>
      <c r="B62" s="469"/>
      <c r="C62" s="469"/>
      <c r="D62" s="106">
        <v>57</v>
      </c>
      <c r="E62" s="106" t="s">
        <v>95</v>
      </c>
      <c r="F62" s="120"/>
      <c r="G62" s="120"/>
      <c r="H62" s="120"/>
      <c r="I62" s="121"/>
      <c r="J62" s="125">
        <f t="shared" si="0"/>
        <v>0</v>
      </c>
      <c r="K62" s="120"/>
      <c r="L62" s="120"/>
      <c r="M62" s="120"/>
      <c r="N62" s="120"/>
      <c r="O62" s="120"/>
      <c r="P62" s="116">
        <f t="shared" si="1"/>
        <v>0</v>
      </c>
      <c r="Q62" s="121"/>
      <c r="R62" s="121"/>
      <c r="S62" s="120"/>
      <c r="T62" s="120"/>
      <c r="U62" s="120"/>
      <c r="V62" s="120"/>
      <c r="W62" s="117"/>
      <c r="X62" s="117">
        <f t="shared" si="2"/>
        <v>0</v>
      </c>
      <c r="Y62" s="97"/>
    </row>
    <row r="63" spans="1:25" ht="47.25">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245"/>
    </row>
    <row r="64" spans="1:25" ht="15.7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7"/>
    </row>
    <row r="65" spans="1:25" ht="31.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7"/>
    </row>
    <row r="66" spans="1:25" ht="47.2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7"/>
    </row>
    <row r="67" spans="1:25" ht="173.25">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135"/>
    </row>
    <row r="68" spans="1:25" ht="43.5" customHeight="1">
      <c r="A68" s="469"/>
      <c r="B68" s="478" t="s">
        <v>103</v>
      </c>
      <c r="C68" s="469"/>
      <c r="D68" s="469"/>
      <c r="E68" s="99"/>
      <c r="F68" s="102">
        <f t="shared" ref="F68:W68" si="3">SUM(F6:F67)</f>
        <v>54.92423999999999</v>
      </c>
      <c r="G68" s="102">
        <f t="shared" si="3"/>
        <v>0</v>
      </c>
      <c r="H68" s="102">
        <f t="shared" si="3"/>
        <v>0</v>
      </c>
      <c r="I68" s="102">
        <f t="shared" si="3"/>
        <v>0</v>
      </c>
      <c r="J68" s="102">
        <f t="shared" si="3"/>
        <v>0</v>
      </c>
      <c r="K68" s="102">
        <f t="shared" si="3"/>
        <v>0</v>
      </c>
      <c r="L68" s="102">
        <f t="shared" si="3"/>
        <v>5.665</v>
      </c>
      <c r="M68" s="102">
        <f t="shared" si="3"/>
        <v>0</v>
      </c>
      <c r="N68" s="102">
        <f t="shared" si="3"/>
        <v>0</v>
      </c>
      <c r="O68" s="102">
        <f t="shared" si="3"/>
        <v>71.138199999999998</v>
      </c>
      <c r="P68" s="102">
        <f t="shared" si="3"/>
        <v>71.138199999999998</v>
      </c>
      <c r="Q68" s="102">
        <f t="shared" si="3"/>
        <v>0</v>
      </c>
      <c r="R68" s="102">
        <f t="shared" si="3"/>
        <v>60.166699999999999</v>
      </c>
      <c r="S68" s="102">
        <f t="shared" si="3"/>
        <v>0</v>
      </c>
      <c r="T68" s="102">
        <f t="shared" si="3"/>
        <v>334.0538499999999</v>
      </c>
      <c r="U68" s="102">
        <f t="shared" si="3"/>
        <v>0</v>
      </c>
      <c r="V68" s="102">
        <f t="shared" si="3"/>
        <v>0</v>
      </c>
      <c r="W68" s="102">
        <f t="shared" si="3"/>
        <v>0</v>
      </c>
      <c r="X68" s="102">
        <f t="shared" si="2"/>
        <v>525.94798999999989</v>
      </c>
      <c r="Y68" s="102"/>
    </row>
    <row r="69" spans="1:25" ht="81.75" customHeight="1">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1.5</v>
      </c>
      <c r="W69" s="117"/>
      <c r="X69" s="117">
        <f t="shared" si="2"/>
        <v>1.5</v>
      </c>
      <c r="Y69" s="135" t="s">
        <v>962</v>
      </c>
    </row>
    <row r="70" spans="1:25" ht="189">
      <c r="A70" s="469"/>
      <c r="B70" s="476" t="s">
        <v>108</v>
      </c>
      <c r="C70" s="476" t="s">
        <v>109</v>
      </c>
      <c r="D70" s="106">
        <v>64</v>
      </c>
      <c r="E70" s="106" t="s">
        <v>110</v>
      </c>
      <c r="F70" s="120"/>
      <c r="G70" s="120"/>
      <c r="H70" s="120"/>
      <c r="I70" s="121"/>
      <c r="J70" s="125">
        <f t="shared" si="4"/>
        <v>0</v>
      </c>
      <c r="K70" s="122"/>
      <c r="L70" s="122">
        <v>0</v>
      </c>
      <c r="M70" s="120"/>
      <c r="N70" s="120"/>
      <c r="O70" s="122">
        <v>0.35</v>
      </c>
      <c r="P70" s="117">
        <f>N70+O70</f>
        <v>0.35</v>
      </c>
      <c r="Q70" s="120"/>
      <c r="R70" s="120"/>
      <c r="S70" s="122"/>
      <c r="T70" s="122">
        <v>0.75</v>
      </c>
      <c r="U70" s="137"/>
      <c r="V70" s="121">
        <v>0.6</v>
      </c>
      <c r="W70" s="117"/>
      <c r="X70" s="117">
        <f t="shared" si="2"/>
        <v>1.7000000000000002</v>
      </c>
      <c r="Y70" s="135" t="s">
        <v>1051</v>
      </c>
    </row>
    <row r="71" spans="1:25" ht="283.5">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135" t="s">
        <v>1052</v>
      </c>
    </row>
    <row r="72" spans="1:25" ht="94.5">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20"/>
      <c r="V72" s="120"/>
      <c r="W72" s="117"/>
      <c r="X72" s="117">
        <f t="shared" si="2"/>
        <v>0.09</v>
      </c>
      <c r="Y72" s="135" t="s">
        <v>1053</v>
      </c>
    </row>
    <row r="73" spans="1:25" ht="157.5">
      <c r="A73" s="469"/>
      <c r="B73" s="469"/>
      <c r="C73" s="469"/>
      <c r="D73" s="106">
        <v>67</v>
      </c>
      <c r="E73" s="106" t="s">
        <v>113</v>
      </c>
      <c r="F73" s="120"/>
      <c r="G73" s="120"/>
      <c r="H73" s="120"/>
      <c r="I73" s="120"/>
      <c r="J73" s="116">
        <f t="shared" si="4"/>
        <v>0</v>
      </c>
      <c r="K73" s="120"/>
      <c r="L73" s="120"/>
      <c r="M73" s="120"/>
      <c r="N73" s="120"/>
      <c r="O73" s="122"/>
      <c r="P73" s="117">
        <f t="shared" si="5"/>
        <v>0</v>
      </c>
      <c r="Q73" s="120"/>
      <c r="R73" s="120"/>
      <c r="S73" s="121"/>
      <c r="T73" s="121">
        <v>34.24</v>
      </c>
      <c r="U73" s="121"/>
      <c r="V73" s="121">
        <v>2.5</v>
      </c>
      <c r="W73" s="117"/>
      <c r="X73" s="117">
        <f t="shared" si="2"/>
        <v>36.74</v>
      </c>
      <c r="Y73" s="135" t="s">
        <v>1056</v>
      </c>
    </row>
    <row r="74" spans="1:25" ht="78.75">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2.68</v>
      </c>
      <c r="U74" s="137"/>
      <c r="V74" s="121">
        <v>1.4</v>
      </c>
      <c r="W74" s="117"/>
      <c r="X74" s="117">
        <f t="shared" si="2"/>
        <v>4.08</v>
      </c>
      <c r="Y74" s="135" t="s">
        <v>1055</v>
      </c>
    </row>
    <row r="75" spans="1:25" ht="362.2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40"/>
      <c r="T75" s="140">
        <f>1.2+40.02+2.001+0.68+0.6+0.2+0.85</f>
        <v>45.551000000000009</v>
      </c>
      <c r="U75" s="138"/>
      <c r="V75" s="138"/>
      <c r="W75" s="117"/>
      <c r="X75" s="117">
        <f t="shared" si="2"/>
        <v>45.751000000000012</v>
      </c>
      <c r="Y75" s="224" t="s">
        <v>912</v>
      </c>
    </row>
    <row r="76" spans="1:25" ht="189">
      <c r="A76" s="469"/>
      <c r="B76" s="469"/>
      <c r="C76" s="469"/>
      <c r="D76" s="106">
        <v>70</v>
      </c>
      <c r="E76" s="106" t="s">
        <v>118</v>
      </c>
      <c r="F76" s="140"/>
      <c r="G76" s="138"/>
      <c r="H76" s="138"/>
      <c r="I76" s="138"/>
      <c r="J76" s="116">
        <f t="shared" si="4"/>
        <v>0</v>
      </c>
      <c r="K76" s="142"/>
      <c r="L76" s="247">
        <v>0.17</v>
      </c>
      <c r="M76" s="138"/>
      <c r="N76" s="138"/>
      <c r="O76" s="138"/>
      <c r="P76" s="116">
        <f t="shared" si="5"/>
        <v>0</v>
      </c>
      <c r="Q76" s="138"/>
      <c r="R76" s="138"/>
      <c r="S76" s="140"/>
      <c r="T76" s="140">
        <v>1.1000000000000001</v>
      </c>
      <c r="U76" s="138"/>
      <c r="V76" s="138"/>
      <c r="W76" s="117"/>
      <c r="X76" s="117">
        <f t="shared" si="2"/>
        <v>1.27</v>
      </c>
      <c r="Y76" s="224" t="s">
        <v>913</v>
      </c>
    </row>
    <row r="77" spans="1:25" ht="15.75">
      <c r="A77" s="469"/>
      <c r="B77" s="469"/>
      <c r="C77" s="469"/>
      <c r="D77" s="106">
        <v>71</v>
      </c>
      <c r="E77" s="106" t="s">
        <v>119</v>
      </c>
      <c r="F77" s="138"/>
      <c r="G77" s="138"/>
      <c r="H77" s="138"/>
      <c r="I77" s="138"/>
      <c r="J77" s="116">
        <f t="shared" si="4"/>
        <v>0</v>
      </c>
      <c r="K77" s="138"/>
      <c r="L77" s="138"/>
      <c r="M77" s="138"/>
      <c r="N77" s="138"/>
      <c r="O77" s="138"/>
      <c r="P77" s="116">
        <f t="shared" si="5"/>
        <v>0</v>
      </c>
      <c r="Q77" s="138"/>
      <c r="R77" s="138"/>
      <c r="S77" s="138"/>
      <c r="T77" s="138"/>
      <c r="U77" s="138"/>
      <c r="V77" s="138"/>
      <c r="W77" s="117"/>
      <c r="X77" s="117">
        <f t="shared" si="2"/>
        <v>0</v>
      </c>
      <c r="Y77" s="135"/>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c r="W78" s="117"/>
      <c r="X78" s="117">
        <f t="shared" si="2"/>
        <v>0</v>
      </c>
      <c r="Y78" s="135"/>
    </row>
    <row r="79" spans="1:25" ht="409.5">
      <c r="A79" s="469"/>
      <c r="B79" s="476" t="s">
        <v>121</v>
      </c>
      <c r="C79" s="476" t="s">
        <v>122</v>
      </c>
      <c r="D79" s="106">
        <v>73</v>
      </c>
      <c r="E79" s="106" t="s">
        <v>123</v>
      </c>
      <c r="F79" s="147">
        <v>2.8</v>
      </c>
      <c r="G79" s="147"/>
      <c r="H79" s="248"/>
      <c r="I79" s="147">
        <v>0.4</v>
      </c>
      <c r="J79" s="148">
        <f t="shared" si="4"/>
        <v>0.4</v>
      </c>
      <c r="K79" s="147"/>
      <c r="L79" s="147">
        <v>1.9</v>
      </c>
      <c r="M79" s="147"/>
      <c r="N79" s="147"/>
      <c r="O79" s="147">
        <v>3.4</v>
      </c>
      <c r="P79" s="149">
        <f>O79</f>
        <v>3.4</v>
      </c>
      <c r="Q79" s="147"/>
      <c r="R79" s="147">
        <v>9.8000000000000007</v>
      </c>
      <c r="S79" s="147"/>
      <c r="T79" s="147">
        <v>1</v>
      </c>
      <c r="U79" s="147"/>
      <c r="V79" s="147">
        <v>0.5</v>
      </c>
      <c r="W79" s="117"/>
      <c r="X79" s="117">
        <f t="shared" si="2"/>
        <v>19.8</v>
      </c>
      <c r="Y79" s="97" t="s">
        <v>1085</v>
      </c>
    </row>
    <row r="80" spans="1:25" ht="63">
      <c r="A80" s="469"/>
      <c r="B80" s="469"/>
      <c r="C80" s="469"/>
      <c r="D80" s="106">
        <v>74</v>
      </c>
      <c r="E80" s="106" t="s">
        <v>124</v>
      </c>
      <c r="F80" s="147">
        <v>70</v>
      </c>
      <c r="G80" s="147"/>
      <c r="H80" s="147"/>
      <c r="I80" s="150"/>
      <c r="J80" s="140">
        <v>0</v>
      </c>
      <c r="K80" s="150"/>
      <c r="L80" s="150">
        <v>0</v>
      </c>
      <c r="M80" s="150"/>
      <c r="N80" s="150"/>
      <c r="O80" s="150"/>
      <c r="P80" s="140">
        <v>0</v>
      </c>
      <c r="Q80" s="150"/>
      <c r="R80" s="150"/>
      <c r="S80" s="150"/>
      <c r="T80" s="150"/>
      <c r="U80" s="150"/>
      <c r="V80" s="150"/>
      <c r="W80" s="117"/>
      <c r="X80" s="117">
        <f t="shared" si="2"/>
        <v>70</v>
      </c>
      <c r="Y80" s="97" t="s">
        <v>1086</v>
      </c>
    </row>
    <row r="81" spans="1:25" ht="204.75">
      <c r="A81" s="469"/>
      <c r="B81" s="469"/>
      <c r="C81" s="469"/>
      <c r="D81" s="106">
        <v>75</v>
      </c>
      <c r="E81" s="106" t="s">
        <v>125</v>
      </c>
      <c r="F81" s="147">
        <v>2</v>
      </c>
      <c r="G81" s="147"/>
      <c r="H81" s="147"/>
      <c r="I81" s="150"/>
      <c r="J81" s="140">
        <v>0</v>
      </c>
      <c r="K81" s="150"/>
      <c r="L81" s="150">
        <v>0</v>
      </c>
      <c r="M81" s="150"/>
      <c r="N81" s="150"/>
      <c r="O81" s="150"/>
      <c r="P81" s="140">
        <v>0</v>
      </c>
      <c r="Q81" s="150"/>
      <c r="R81" s="150"/>
      <c r="S81" s="147"/>
      <c r="T81" s="147">
        <v>1.4</v>
      </c>
      <c r="U81" s="150"/>
      <c r="V81" s="150"/>
      <c r="W81" s="117"/>
      <c r="X81" s="117">
        <f t="shared" si="2"/>
        <v>3.4</v>
      </c>
      <c r="Y81" s="97" t="s">
        <v>1087</v>
      </c>
    </row>
    <row r="82" spans="1:25" ht="157.5">
      <c r="A82" s="469"/>
      <c r="B82" s="469"/>
      <c r="C82" s="469"/>
      <c r="D82" s="106">
        <v>76</v>
      </c>
      <c r="E82" s="106" t="s">
        <v>126</v>
      </c>
      <c r="F82" s="150">
        <v>1.9</v>
      </c>
      <c r="G82" s="150"/>
      <c r="H82" s="150"/>
      <c r="I82" s="150"/>
      <c r="J82" s="140">
        <v>0</v>
      </c>
      <c r="K82" s="150"/>
      <c r="L82" s="150">
        <v>0</v>
      </c>
      <c r="M82" s="150"/>
      <c r="N82" s="150"/>
      <c r="O82" s="147"/>
      <c r="P82" s="140">
        <v>0</v>
      </c>
      <c r="Q82" s="147"/>
      <c r="R82" s="147">
        <v>1.5</v>
      </c>
      <c r="S82" s="150"/>
      <c r="T82" s="150"/>
      <c r="U82" s="150"/>
      <c r="V82" s="150"/>
      <c r="W82" s="117"/>
      <c r="X82" s="117">
        <f t="shared" si="2"/>
        <v>3.4</v>
      </c>
      <c r="Y82" s="97" t="s">
        <v>1088</v>
      </c>
    </row>
    <row r="83" spans="1:25" ht="283.5">
      <c r="A83" s="469"/>
      <c r="B83" s="469"/>
      <c r="C83" s="469"/>
      <c r="D83" s="106">
        <v>77</v>
      </c>
      <c r="E83" s="106" t="s">
        <v>127</v>
      </c>
      <c r="F83" s="147">
        <v>0.3</v>
      </c>
      <c r="G83" s="147"/>
      <c r="H83" s="147"/>
      <c r="I83" s="147">
        <v>0.25</v>
      </c>
      <c r="J83" s="148">
        <f>H83+I83</f>
        <v>0.25</v>
      </c>
      <c r="K83" s="147"/>
      <c r="L83" s="147">
        <v>4.0999999999999996</v>
      </c>
      <c r="M83" s="150"/>
      <c r="N83" s="150"/>
      <c r="O83" s="147">
        <v>1.1000000000000001</v>
      </c>
      <c r="P83" s="149">
        <f>O83</f>
        <v>1.1000000000000001</v>
      </c>
      <c r="Q83" s="147"/>
      <c r="R83" s="147">
        <v>0</v>
      </c>
      <c r="S83" s="150"/>
      <c r="T83" s="150"/>
      <c r="U83" s="147"/>
      <c r="V83" s="147">
        <v>0</v>
      </c>
      <c r="W83" s="117"/>
      <c r="X83" s="117">
        <f t="shared" si="2"/>
        <v>5.75</v>
      </c>
      <c r="Y83" s="97" t="s">
        <v>1089</v>
      </c>
    </row>
    <row r="84" spans="1:25" ht="22.5" customHeight="1">
      <c r="A84" s="469"/>
      <c r="B84" s="469"/>
      <c r="C84" s="469"/>
      <c r="D84" s="106">
        <v>78</v>
      </c>
      <c r="E84" s="106" t="s">
        <v>128</v>
      </c>
      <c r="F84" s="150"/>
      <c r="G84" s="150"/>
      <c r="H84" s="150"/>
      <c r="I84" s="150"/>
      <c r="J84" s="140">
        <v>0</v>
      </c>
      <c r="K84" s="150"/>
      <c r="L84" s="150"/>
      <c r="M84" s="150"/>
      <c r="N84" s="150"/>
      <c r="O84" s="150"/>
      <c r="P84" s="140">
        <v>0</v>
      </c>
      <c r="Q84" s="150"/>
      <c r="R84" s="150"/>
      <c r="S84" s="150"/>
      <c r="T84" s="150"/>
      <c r="U84" s="150"/>
      <c r="V84" s="150"/>
      <c r="W84" s="117"/>
      <c r="X84" s="117">
        <f t="shared" si="2"/>
        <v>0</v>
      </c>
      <c r="Y84" s="97"/>
    </row>
    <row r="85" spans="1:25" ht="15" hidden="1" customHeight="1">
      <c r="A85" s="469"/>
      <c r="B85" s="469"/>
      <c r="C85" s="469"/>
      <c r="D85" s="106">
        <v>79</v>
      </c>
      <c r="E85" s="106" t="s">
        <v>44</v>
      </c>
      <c r="F85" s="151"/>
      <c r="G85" s="151"/>
      <c r="H85" s="151"/>
      <c r="I85" s="151"/>
      <c r="J85" s="116">
        <f t="shared" ref="J85:J92" si="6">H85+I85</f>
        <v>0</v>
      </c>
      <c r="K85" s="151"/>
      <c r="L85" s="151"/>
      <c r="M85" s="151"/>
      <c r="N85" s="151"/>
      <c r="O85" s="151"/>
      <c r="P85" s="116">
        <f t="shared" ref="P85:P92" si="7">N85+O85</f>
        <v>0</v>
      </c>
      <c r="Q85" s="151"/>
      <c r="R85" s="151"/>
      <c r="S85" s="151"/>
      <c r="T85" s="151"/>
      <c r="U85" s="151"/>
      <c r="V85" s="151"/>
      <c r="W85" s="117"/>
      <c r="X85" s="117">
        <f t="shared" si="2"/>
        <v>0</v>
      </c>
      <c r="Y85" s="97"/>
    </row>
    <row r="86" spans="1:25" ht="30.75" customHeight="1">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7"/>
    </row>
    <row r="87" spans="1:25" ht="47.25">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v>0</v>
      </c>
      <c r="U87" s="120"/>
      <c r="V87" s="120"/>
      <c r="W87" s="117"/>
      <c r="X87" s="117">
        <f t="shared" si="2"/>
        <v>0</v>
      </c>
      <c r="Y87" s="249"/>
    </row>
    <row r="88" spans="1:25" ht="47.25">
      <c r="A88" s="469"/>
      <c r="B88" s="469"/>
      <c r="C88" s="469"/>
      <c r="D88" s="106">
        <v>82</v>
      </c>
      <c r="E88" s="106" t="s">
        <v>133</v>
      </c>
      <c r="F88" s="120"/>
      <c r="G88" s="120"/>
      <c r="H88" s="120"/>
      <c r="I88" s="120"/>
      <c r="J88" s="116">
        <f t="shared" si="6"/>
        <v>0</v>
      </c>
      <c r="K88" s="120"/>
      <c r="L88" s="120"/>
      <c r="M88" s="120"/>
      <c r="N88" s="120"/>
      <c r="O88" s="120"/>
      <c r="P88" s="116">
        <f t="shared" si="7"/>
        <v>0</v>
      </c>
      <c r="Q88" s="120"/>
      <c r="R88" s="120"/>
      <c r="S88" s="121"/>
      <c r="T88" s="121">
        <v>0.1</v>
      </c>
      <c r="U88" s="120"/>
      <c r="V88" s="120"/>
      <c r="W88" s="117"/>
      <c r="X88" s="117">
        <f t="shared" si="2"/>
        <v>0.1</v>
      </c>
      <c r="Y88" s="250" t="s">
        <v>957</v>
      </c>
    </row>
    <row r="89" spans="1:25" ht="31.5">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v>0</v>
      </c>
      <c r="U89" s="120"/>
      <c r="V89" s="120"/>
      <c r="W89" s="117"/>
      <c r="X89" s="117">
        <f t="shared" si="2"/>
        <v>0.5</v>
      </c>
      <c r="Y89" s="97" t="s">
        <v>956</v>
      </c>
    </row>
    <row r="90" spans="1:25" ht="94.5">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c r="W90" s="117"/>
      <c r="X90" s="117">
        <f t="shared" si="2"/>
        <v>0</v>
      </c>
      <c r="Y90" s="97"/>
    </row>
    <row r="91" spans="1:25" ht="157.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7"/>
    </row>
    <row r="92" spans="1:25" ht="94.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7"/>
    </row>
    <row r="93" spans="1:25" ht="31.5" customHeight="1">
      <c r="A93" s="469"/>
      <c r="B93" s="476" t="s">
        <v>143</v>
      </c>
      <c r="C93" s="469"/>
      <c r="D93" s="469"/>
      <c r="E93" s="106"/>
      <c r="F93" s="102">
        <f t="shared" ref="F93:W93" si="8">SUM(F69:F92)</f>
        <v>77</v>
      </c>
      <c r="G93" s="102">
        <f t="shared" si="8"/>
        <v>0</v>
      </c>
      <c r="H93" s="102">
        <f t="shared" si="8"/>
        <v>0</v>
      </c>
      <c r="I93" s="102">
        <f t="shared" si="8"/>
        <v>0.65</v>
      </c>
      <c r="J93" s="102">
        <f t="shared" si="8"/>
        <v>0.65</v>
      </c>
      <c r="K93" s="102">
        <f t="shared" si="8"/>
        <v>0</v>
      </c>
      <c r="L93" s="102">
        <f t="shared" si="8"/>
        <v>6.17</v>
      </c>
      <c r="M93" s="102">
        <f t="shared" si="8"/>
        <v>0</v>
      </c>
      <c r="N93" s="102">
        <f t="shared" si="8"/>
        <v>0</v>
      </c>
      <c r="O93" s="102">
        <f t="shared" si="8"/>
        <v>5.35</v>
      </c>
      <c r="P93" s="102">
        <f t="shared" si="8"/>
        <v>5.35</v>
      </c>
      <c r="Q93" s="102">
        <f t="shared" si="8"/>
        <v>0</v>
      </c>
      <c r="R93" s="102">
        <f t="shared" si="8"/>
        <v>11.5</v>
      </c>
      <c r="S93" s="102">
        <f t="shared" si="8"/>
        <v>0</v>
      </c>
      <c r="T93" s="102">
        <f t="shared" si="8"/>
        <v>87.161000000000001</v>
      </c>
      <c r="U93" s="102">
        <f t="shared" si="8"/>
        <v>0</v>
      </c>
      <c r="V93" s="102">
        <f t="shared" si="8"/>
        <v>6.5</v>
      </c>
      <c r="W93" s="102">
        <f t="shared" si="8"/>
        <v>0</v>
      </c>
      <c r="X93" s="102">
        <f t="shared" si="2"/>
        <v>194.33100000000002</v>
      </c>
      <c r="Y93" s="251"/>
    </row>
    <row r="94" spans="1:25" ht="75" customHeight="1">
      <c r="A94" s="477" t="s">
        <v>144</v>
      </c>
      <c r="B94" s="476" t="s">
        <v>145</v>
      </c>
      <c r="C94" s="476" t="s">
        <v>146</v>
      </c>
      <c r="D94" s="106">
        <v>87</v>
      </c>
      <c r="E94" s="106" t="s">
        <v>147</v>
      </c>
      <c r="F94" s="155"/>
      <c r="G94" s="155"/>
      <c r="H94" s="155"/>
      <c r="I94" s="155"/>
      <c r="J94" s="116">
        <f t="shared" ref="J94:J133" si="9">H94+I94</f>
        <v>0</v>
      </c>
      <c r="K94" s="155"/>
      <c r="L94" s="155"/>
      <c r="M94" s="155"/>
      <c r="N94" s="155"/>
      <c r="O94" s="122">
        <v>25</v>
      </c>
      <c r="P94" s="117">
        <f t="shared" ref="P94:P133" si="10">N94+O94</f>
        <v>25</v>
      </c>
      <c r="Q94" s="155"/>
      <c r="R94" s="155"/>
      <c r="S94" s="155"/>
      <c r="T94" s="155"/>
      <c r="U94" s="155"/>
      <c r="V94" s="155"/>
      <c r="W94" s="117"/>
      <c r="X94" s="117">
        <f t="shared" si="2"/>
        <v>25</v>
      </c>
      <c r="Y94" s="225" t="s">
        <v>1224</v>
      </c>
    </row>
    <row r="95" spans="1:25" ht="54.75" customHeight="1">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f>8+20</f>
        <v>28</v>
      </c>
      <c r="U95" s="155"/>
      <c r="V95" s="155"/>
      <c r="W95" s="117"/>
      <c r="X95" s="117">
        <f t="shared" si="2"/>
        <v>28</v>
      </c>
      <c r="Y95" s="250" t="s">
        <v>1225</v>
      </c>
    </row>
    <row r="96" spans="1:25" ht="47.2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225"/>
    </row>
    <row r="97" spans="1:25" ht="47.25">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225"/>
    </row>
    <row r="98" spans="1:25" ht="31.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226"/>
    </row>
    <row r="99" spans="1:25" ht="63">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c r="U99" s="155"/>
      <c r="V99" s="155"/>
      <c r="W99" s="117"/>
      <c r="X99" s="117">
        <f t="shared" si="2"/>
        <v>0</v>
      </c>
      <c r="Y99" s="230"/>
    </row>
    <row r="100" spans="1:25" ht="78.75">
      <c r="A100" s="469"/>
      <c r="B100" s="469"/>
      <c r="C100" s="469"/>
      <c r="D100" s="106">
        <v>93</v>
      </c>
      <c r="E100" s="106" t="s">
        <v>153</v>
      </c>
      <c r="F100" s="155"/>
      <c r="G100" s="155"/>
      <c r="H100" s="155"/>
      <c r="I100" s="155"/>
      <c r="J100" s="116">
        <f t="shared" si="9"/>
        <v>0</v>
      </c>
      <c r="K100" s="158"/>
      <c r="L100" s="158">
        <v>7.1</v>
      </c>
      <c r="M100" s="155"/>
      <c r="N100" s="155"/>
      <c r="O100" s="155"/>
      <c r="P100" s="116">
        <f t="shared" si="10"/>
        <v>0</v>
      </c>
      <c r="Q100" s="155"/>
      <c r="R100" s="155"/>
      <c r="S100" s="155"/>
      <c r="T100" s="155"/>
      <c r="U100" s="155"/>
      <c r="V100" s="155"/>
      <c r="W100" s="117"/>
      <c r="X100" s="117">
        <f t="shared" si="2"/>
        <v>7.1</v>
      </c>
      <c r="Y100" s="227" t="s">
        <v>597</v>
      </c>
    </row>
    <row r="101" spans="1:25" ht="78.75">
      <c r="A101" s="469"/>
      <c r="B101" s="469"/>
      <c r="C101" s="469"/>
      <c r="D101" s="106">
        <v>94</v>
      </c>
      <c r="E101" s="106" t="s">
        <v>154</v>
      </c>
      <c r="F101" s="155"/>
      <c r="G101" s="155"/>
      <c r="H101" s="155"/>
      <c r="I101" s="155"/>
      <c r="J101" s="116">
        <f t="shared" si="9"/>
        <v>0</v>
      </c>
      <c r="K101" s="158"/>
      <c r="L101" s="158">
        <v>7.1</v>
      </c>
      <c r="M101" s="155"/>
      <c r="N101" s="155"/>
      <c r="O101" s="155"/>
      <c r="P101" s="116">
        <f t="shared" si="10"/>
        <v>0</v>
      </c>
      <c r="Q101" s="155"/>
      <c r="R101" s="155"/>
      <c r="S101" s="155"/>
      <c r="T101" s="155"/>
      <c r="U101" s="155"/>
      <c r="V101" s="155"/>
      <c r="W101" s="117"/>
      <c r="X101" s="117">
        <f t="shared" si="2"/>
        <v>7.1</v>
      </c>
      <c r="Y101" s="231" t="s">
        <v>597</v>
      </c>
    </row>
    <row r="102" spans="1:25" ht="63">
      <c r="A102" s="469"/>
      <c r="B102" s="469"/>
      <c r="C102" s="469"/>
      <c r="D102" s="106">
        <v>95</v>
      </c>
      <c r="E102" s="106" t="s">
        <v>155</v>
      </c>
      <c r="F102" s="155"/>
      <c r="G102" s="155"/>
      <c r="H102" s="155"/>
      <c r="I102" s="158"/>
      <c r="J102" s="125">
        <f t="shared" si="9"/>
        <v>0</v>
      </c>
      <c r="K102" s="122"/>
      <c r="L102" s="122"/>
      <c r="M102" s="155"/>
      <c r="N102" s="155"/>
      <c r="O102" s="155"/>
      <c r="P102" s="116">
        <f t="shared" si="10"/>
        <v>0</v>
      </c>
      <c r="Q102" s="155"/>
      <c r="R102" s="155"/>
      <c r="S102" s="155"/>
      <c r="T102" s="155"/>
      <c r="U102" s="155"/>
      <c r="V102" s="155"/>
      <c r="W102" s="117"/>
      <c r="X102" s="117">
        <f t="shared" si="2"/>
        <v>0</v>
      </c>
      <c r="Y102" s="97"/>
    </row>
    <row r="103" spans="1:25" ht="47.25">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1</v>
      </c>
      <c r="U103" s="155"/>
      <c r="V103" s="155"/>
      <c r="W103" s="117"/>
      <c r="X103" s="117">
        <f t="shared" si="2"/>
        <v>1</v>
      </c>
      <c r="Y103" s="97" t="s">
        <v>157</v>
      </c>
    </row>
    <row r="104" spans="1:25" ht="141.75">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11</v>
      </c>
      <c r="U104" s="140"/>
      <c r="V104" s="140"/>
      <c r="W104" s="117"/>
      <c r="X104" s="117">
        <f t="shared" si="2"/>
        <v>11</v>
      </c>
      <c r="Y104" s="135" t="s">
        <v>639</v>
      </c>
    </row>
    <row r="105" spans="1:25" ht="84" customHeight="1">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15.7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93.75" customHeight="1">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2.1</v>
      </c>
      <c r="U109" s="140"/>
      <c r="V109" s="140"/>
      <c r="W109" s="117"/>
      <c r="X109" s="117">
        <f t="shared" si="2"/>
        <v>2.1</v>
      </c>
      <c r="Y109" s="97" t="s">
        <v>640</v>
      </c>
    </row>
    <row r="110" spans="1:25" ht="47.25">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135"/>
    </row>
    <row r="112" spans="1:25" ht="141.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15.7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135"/>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47.2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31.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252"/>
    </row>
    <row r="121" spans="1:25" ht="173.25">
      <c r="A121" s="469"/>
      <c r="B121" s="106" t="s">
        <v>183</v>
      </c>
      <c r="C121" s="106" t="s">
        <v>184</v>
      </c>
      <c r="D121" s="106">
        <v>114</v>
      </c>
      <c r="E121" s="106" t="s">
        <v>185</v>
      </c>
      <c r="F121" s="140"/>
      <c r="G121" s="140"/>
      <c r="H121" s="140"/>
      <c r="I121" s="161">
        <v>8</v>
      </c>
      <c r="J121" s="125">
        <f t="shared" si="9"/>
        <v>8</v>
      </c>
      <c r="K121" s="120"/>
      <c r="L121" s="120">
        <v>0.9</v>
      </c>
      <c r="M121" s="120"/>
      <c r="N121" s="120"/>
      <c r="O121" s="120"/>
      <c r="P121" s="116">
        <f t="shared" si="10"/>
        <v>0</v>
      </c>
      <c r="Q121" s="120"/>
      <c r="R121" s="120"/>
      <c r="S121" s="120"/>
      <c r="T121" s="120">
        <v>2.5</v>
      </c>
      <c r="U121" s="121"/>
      <c r="V121" s="161"/>
      <c r="W121" s="117"/>
      <c r="X121" s="117">
        <f t="shared" si="2"/>
        <v>11.4</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135" t="s">
        <v>636</v>
      </c>
    </row>
    <row r="123" spans="1:25" ht="47.2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7.7</v>
      </c>
      <c r="S123" s="140"/>
      <c r="T123" s="140"/>
      <c r="U123" s="140"/>
      <c r="V123" s="140"/>
      <c r="W123" s="117"/>
      <c r="X123" s="117">
        <f t="shared" si="2"/>
        <v>7.7</v>
      </c>
      <c r="Y123" s="135" t="s">
        <v>641</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7"/>
    </row>
    <row r="125" spans="1:25" ht="47.2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7"/>
    </row>
    <row r="126" spans="1:25" ht="126">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21">
        <v>5</v>
      </c>
      <c r="U126" s="140"/>
      <c r="V126" s="140"/>
      <c r="W126" s="117"/>
      <c r="X126" s="117">
        <f t="shared" si="2"/>
        <v>5</v>
      </c>
      <c r="Y126" s="135" t="s">
        <v>638</v>
      </c>
    </row>
    <row r="127" spans="1:25" ht="189">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161"/>
      <c r="S127" s="161"/>
      <c r="T127" s="161"/>
      <c r="U127" s="140"/>
      <c r="V127" s="140"/>
      <c r="W127" s="117"/>
      <c r="X127" s="117">
        <f t="shared" si="2"/>
        <v>0</v>
      </c>
      <c r="Y127" s="97"/>
    </row>
    <row r="128" spans="1:25" ht="31.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140"/>
      <c r="S128" s="140"/>
      <c r="T128" s="140"/>
      <c r="U128" s="140"/>
      <c r="V128" s="140"/>
      <c r="W128" s="117"/>
      <c r="X128" s="117">
        <f t="shared" si="2"/>
        <v>0</v>
      </c>
      <c r="Y128" s="135"/>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135"/>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98"/>
    </row>
    <row r="131" spans="1:25" ht="31.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252"/>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252"/>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7"/>
    </row>
    <row r="134" spans="1:25" ht="26.25" customHeight="1">
      <c r="A134" s="469"/>
      <c r="B134" s="476" t="s">
        <v>208</v>
      </c>
      <c r="C134" s="469"/>
      <c r="D134" s="469"/>
      <c r="E134" s="106"/>
      <c r="F134" s="100">
        <f t="shared" ref="F134:W134" si="11">SUM(F94:F133)</f>
        <v>0</v>
      </c>
      <c r="G134" s="100">
        <f t="shared" si="11"/>
        <v>0</v>
      </c>
      <c r="H134" s="100">
        <f t="shared" si="11"/>
        <v>0</v>
      </c>
      <c r="I134" s="100">
        <f t="shared" si="11"/>
        <v>8</v>
      </c>
      <c r="J134" s="100">
        <f t="shared" si="11"/>
        <v>8</v>
      </c>
      <c r="K134" s="100">
        <f t="shared" si="11"/>
        <v>0</v>
      </c>
      <c r="L134" s="100">
        <f t="shared" si="11"/>
        <v>16.099999999999998</v>
      </c>
      <c r="M134" s="100">
        <f t="shared" si="11"/>
        <v>0</v>
      </c>
      <c r="N134" s="100">
        <f t="shared" si="11"/>
        <v>0</v>
      </c>
      <c r="O134" s="102">
        <f t="shared" si="11"/>
        <v>25</v>
      </c>
      <c r="P134" s="102">
        <f t="shared" si="11"/>
        <v>25</v>
      </c>
      <c r="Q134" s="100">
        <f t="shared" si="11"/>
        <v>0</v>
      </c>
      <c r="R134" s="100">
        <f t="shared" si="11"/>
        <v>7.7</v>
      </c>
      <c r="S134" s="100">
        <f t="shared" si="11"/>
        <v>0</v>
      </c>
      <c r="T134" s="100">
        <f t="shared" si="11"/>
        <v>53.46</v>
      </c>
      <c r="U134" s="100">
        <f t="shared" si="11"/>
        <v>0</v>
      </c>
      <c r="V134" s="100">
        <f t="shared" si="11"/>
        <v>0</v>
      </c>
      <c r="W134" s="102">
        <f t="shared" si="11"/>
        <v>0</v>
      </c>
      <c r="X134" s="102">
        <f t="shared" si="2"/>
        <v>110.25999999999999</v>
      </c>
      <c r="Y134" s="253"/>
    </row>
    <row r="135" spans="1:25" ht="63">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120"/>
      <c r="U135" s="120"/>
      <c r="V135" s="120"/>
      <c r="W135" s="117"/>
      <c r="X135" s="117">
        <f t="shared" si="2"/>
        <v>0</v>
      </c>
      <c r="Y135" s="97"/>
    </row>
    <row r="136" spans="1:25" ht="39" customHeight="1">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163"/>
      <c r="U136" s="120"/>
      <c r="V136" s="120"/>
      <c r="W136" s="117"/>
      <c r="X136" s="117">
        <f t="shared" si="2"/>
        <v>0</v>
      </c>
      <c r="Y136" s="135"/>
    </row>
    <row r="137" spans="1:25" ht="47.2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120"/>
      <c r="U137" s="120"/>
      <c r="V137" s="120"/>
      <c r="W137" s="117"/>
      <c r="X137" s="117">
        <f t="shared" si="2"/>
        <v>0</v>
      </c>
      <c r="Y137" s="97"/>
    </row>
    <row r="138" spans="1:25" ht="63">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120"/>
      <c r="U138" s="120"/>
      <c r="V138" s="120"/>
      <c r="W138" s="117"/>
      <c r="X138" s="117">
        <f t="shared" si="2"/>
        <v>0</v>
      </c>
      <c r="Y138" s="97"/>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120"/>
      <c r="U140" s="120"/>
      <c r="V140" s="120"/>
      <c r="W140" s="117"/>
      <c r="X140" s="117">
        <f t="shared" si="2"/>
        <v>0</v>
      </c>
      <c r="Y140" s="97"/>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120"/>
      <c r="U141" s="120"/>
      <c r="V141" s="120"/>
      <c r="W141" s="117"/>
      <c r="X141" s="117">
        <f t="shared" si="2"/>
        <v>0</v>
      </c>
      <c r="Y141" s="97"/>
    </row>
    <row r="142" spans="1:25" ht="116.25" customHeight="1">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(5*0.025*12)</f>
        <v>1.5</v>
      </c>
      <c r="U142" s="120"/>
      <c r="V142" s="120"/>
      <c r="W142" s="117"/>
      <c r="X142" s="117">
        <f t="shared" si="2"/>
        <v>1.5</v>
      </c>
      <c r="Y142" s="254" t="s">
        <v>668</v>
      </c>
    </row>
    <row r="143" spans="1:25" ht="47.25">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120"/>
      <c r="U143" s="120"/>
      <c r="V143" s="120"/>
      <c r="W143" s="117"/>
      <c r="X143" s="117">
        <f t="shared" si="2"/>
        <v>0</v>
      </c>
      <c r="Y143" s="97"/>
    </row>
    <row r="144" spans="1:25" ht="47.25">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122"/>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22"/>
      <c r="U145" s="120"/>
      <c r="V145" s="120"/>
      <c r="W145" s="117"/>
      <c r="X145" s="117">
        <f t="shared" si="2"/>
        <v>0</v>
      </c>
      <c r="Y145" s="135"/>
    </row>
    <row r="146" spans="1:25" ht="31.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120"/>
      <c r="U146" s="120"/>
      <c r="V146" s="120"/>
      <c r="W146" s="117"/>
      <c r="X146" s="117">
        <f t="shared" si="2"/>
        <v>0</v>
      </c>
      <c r="Y146" s="135"/>
    </row>
    <row r="147" spans="1:25" ht="47.25">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v>0</v>
      </c>
      <c r="U147" s="120"/>
      <c r="V147" s="120"/>
      <c r="W147" s="117"/>
      <c r="X147" s="117">
        <f t="shared" si="2"/>
        <v>0</v>
      </c>
      <c r="Y147" s="135"/>
    </row>
    <row r="148" spans="1:25" ht="81.75" customHeight="1">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22">
        <v>0.67</v>
      </c>
      <c r="U148" s="120"/>
      <c r="V148" s="120"/>
      <c r="W148" s="117"/>
      <c r="X148" s="117">
        <f t="shared" si="2"/>
        <v>0.67</v>
      </c>
      <c r="Y148" s="234" t="s">
        <v>670</v>
      </c>
    </row>
    <row r="149" spans="1:25" ht="31.5" hidden="1">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20"/>
      <c r="U149" s="120"/>
      <c r="V149" s="120"/>
      <c r="W149" s="117"/>
      <c r="X149" s="117">
        <f t="shared" si="2"/>
        <v>0</v>
      </c>
      <c r="Y149" s="97"/>
    </row>
    <row r="150" spans="1:25" ht="61.5" customHeight="1">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255">
        <v>784</v>
      </c>
      <c r="U150" s="120"/>
      <c r="V150" s="120"/>
      <c r="W150" s="117"/>
      <c r="X150" s="117">
        <f t="shared" si="2"/>
        <v>784</v>
      </c>
      <c r="Y150" s="97" t="s">
        <v>671</v>
      </c>
    </row>
    <row r="151" spans="1:25" ht="47.25">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120"/>
      <c r="U151" s="120"/>
      <c r="V151" s="120"/>
      <c r="W151" s="117"/>
      <c r="X151" s="117">
        <f t="shared" si="2"/>
        <v>0</v>
      </c>
      <c r="Y151" s="97"/>
    </row>
    <row r="152" spans="1:25" ht="31.5">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120"/>
      <c r="U152" s="120"/>
      <c r="V152" s="120"/>
      <c r="W152" s="117"/>
      <c r="X152" s="117">
        <f t="shared" si="2"/>
        <v>0</v>
      </c>
      <c r="Y152" s="97"/>
    </row>
    <row r="153" spans="1:25" ht="47.25">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120"/>
      <c r="U153" s="120"/>
      <c r="V153" s="120"/>
      <c r="W153" s="117"/>
      <c r="X153" s="117">
        <f t="shared" si="2"/>
        <v>0</v>
      </c>
      <c r="Y153" s="97"/>
    </row>
    <row r="154" spans="1:25" ht="110.25">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122">
        <f>(0.4*12)+(12*0.1)</f>
        <v>6.0000000000000009</v>
      </c>
      <c r="U154" s="120"/>
      <c r="V154" s="120"/>
      <c r="W154" s="117"/>
      <c r="X154" s="117">
        <f t="shared" si="2"/>
        <v>6.0000000000000009</v>
      </c>
      <c r="Y154" s="256" t="s">
        <v>672</v>
      </c>
    </row>
    <row r="155" spans="1:25" ht="31.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120"/>
      <c r="U155" s="120"/>
      <c r="V155" s="120"/>
      <c r="W155" s="117"/>
      <c r="X155" s="117">
        <f t="shared" si="2"/>
        <v>0</v>
      </c>
      <c r="Y155" s="97"/>
    </row>
    <row r="156" spans="1:25" ht="63"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135"/>
    </row>
    <row r="157" spans="1:25" ht="78.75">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122">
        <f>(0.03*75)</f>
        <v>2.25</v>
      </c>
      <c r="U157" s="151"/>
      <c r="V157" s="151"/>
      <c r="W157" s="117"/>
      <c r="X157" s="117">
        <f t="shared" si="2"/>
        <v>2.25</v>
      </c>
      <c r="Y157" s="135" t="s">
        <v>673</v>
      </c>
    </row>
    <row r="158" spans="1:25" ht="24.75" customHeight="1">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0">
        <f t="shared" si="14"/>
        <v>794.42</v>
      </c>
      <c r="U158" s="100">
        <f t="shared" si="14"/>
        <v>0</v>
      </c>
      <c r="V158" s="100">
        <f t="shared" si="14"/>
        <v>0</v>
      </c>
      <c r="W158" s="102">
        <f t="shared" si="14"/>
        <v>0</v>
      </c>
      <c r="X158" s="102">
        <f t="shared" si="2"/>
        <v>794.42</v>
      </c>
      <c r="Y158" s="253"/>
    </row>
    <row r="159" spans="1:25" ht="76.5" customHeight="1">
      <c r="A159" s="477" t="s">
        <v>252</v>
      </c>
      <c r="B159" s="476" t="s">
        <v>253</v>
      </c>
      <c r="C159" s="476" t="s">
        <v>211</v>
      </c>
      <c r="D159" s="106">
        <v>150</v>
      </c>
      <c r="E159" s="106" t="s">
        <v>239</v>
      </c>
      <c r="F159" s="120"/>
      <c r="G159" s="121"/>
      <c r="H159" s="244">
        <v>95</v>
      </c>
      <c r="I159" s="121"/>
      <c r="J159" s="125">
        <f t="shared" ref="J159:J215" si="15">H159+I159</f>
        <v>95</v>
      </c>
      <c r="K159" s="120"/>
      <c r="L159" s="120"/>
      <c r="M159" s="120"/>
      <c r="N159" s="120"/>
      <c r="O159" s="120"/>
      <c r="P159" s="116">
        <f t="shared" ref="P159:P215" si="16">N159+O159</f>
        <v>0</v>
      </c>
      <c r="Q159" s="120"/>
      <c r="R159" s="120"/>
      <c r="S159" s="121"/>
      <c r="T159" s="121">
        <v>1</v>
      </c>
      <c r="U159" s="120"/>
      <c r="V159" s="120"/>
      <c r="W159" s="117"/>
      <c r="X159" s="117">
        <f t="shared" si="2"/>
        <v>96</v>
      </c>
      <c r="Y159" s="257" t="s">
        <v>1008</v>
      </c>
    </row>
    <row r="160" spans="1:25" ht="31.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20"/>
      <c r="S160" s="121"/>
      <c r="T160" s="121"/>
      <c r="U160" s="120"/>
      <c r="V160" s="120"/>
      <c r="W160" s="117"/>
      <c r="X160" s="117">
        <f t="shared" si="2"/>
        <v>0</v>
      </c>
      <c r="Y160" s="97"/>
    </row>
    <row r="161" spans="1:25" ht="49.5" customHeight="1">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20"/>
      <c r="S161" s="121"/>
      <c r="T161" s="98">
        <f>421*3600/100000</f>
        <v>15.156000000000001</v>
      </c>
      <c r="U161" s="120"/>
      <c r="V161" s="120"/>
      <c r="W161" s="117"/>
      <c r="X161" s="117">
        <f t="shared" si="2"/>
        <v>15.156000000000001</v>
      </c>
      <c r="Y161" s="135" t="s">
        <v>1010</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51"/>
      <c r="S162" s="151"/>
      <c r="T162" s="151"/>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22"/>
      <c r="S163" s="120"/>
      <c r="T163" s="120"/>
      <c r="U163" s="120"/>
      <c r="V163" s="120"/>
      <c r="W163" s="117"/>
      <c r="X163" s="117">
        <f t="shared" si="2"/>
        <v>0</v>
      </c>
      <c r="Y163" s="97"/>
    </row>
    <row r="164" spans="1:25" ht="31.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20"/>
      <c r="S164" s="121"/>
      <c r="T164" s="121"/>
      <c r="U164" s="120"/>
      <c r="V164" s="120"/>
      <c r="W164" s="117"/>
      <c r="X164" s="117">
        <f t="shared" si="2"/>
        <v>0</v>
      </c>
      <c r="Y164" s="97"/>
    </row>
    <row r="165" spans="1:25" ht="78.75">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20"/>
      <c r="S165" s="121"/>
      <c r="T165" s="121">
        <v>1</v>
      </c>
      <c r="U165" s="166"/>
      <c r="V165" s="120"/>
      <c r="W165" s="117"/>
      <c r="X165" s="117">
        <f t="shared" si="2"/>
        <v>1</v>
      </c>
      <c r="Y165" s="249" t="s">
        <v>810</v>
      </c>
    </row>
    <row r="166" spans="1:25" ht="31.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20"/>
      <c r="S166" s="120"/>
      <c r="T166" s="120"/>
      <c r="U166" s="120"/>
      <c r="V166" s="120"/>
      <c r="W166" s="117"/>
      <c r="X166" s="117">
        <f t="shared" si="2"/>
        <v>0</v>
      </c>
      <c r="Y166" s="97"/>
    </row>
    <row r="167" spans="1:25" ht="63">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20"/>
      <c r="S167" s="120"/>
      <c r="T167" s="120"/>
      <c r="U167" s="120"/>
      <c r="V167" s="120"/>
      <c r="W167" s="117"/>
      <c r="X167" s="117">
        <f t="shared" si="2"/>
        <v>0</v>
      </c>
      <c r="Y167" s="97">
        <f>80*100*12</f>
        <v>96000</v>
      </c>
    </row>
    <row r="168" spans="1:25" ht="94.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20"/>
      <c r="S168" s="121"/>
      <c r="T168" s="121">
        <v>47.664000000000001</v>
      </c>
      <c r="U168" s="120"/>
      <c r="V168" s="120"/>
      <c r="W168" s="117"/>
      <c r="X168" s="117">
        <f t="shared" si="2"/>
        <v>47.664000000000001</v>
      </c>
      <c r="Y168" s="97" t="s">
        <v>995</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20"/>
      <c r="S169" s="120"/>
      <c r="T169" s="120"/>
      <c r="U169" s="120"/>
      <c r="V169" s="120"/>
      <c r="W169" s="117"/>
      <c r="X169" s="117">
        <f t="shared" si="2"/>
        <v>0</v>
      </c>
      <c r="Y169" s="97"/>
    </row>
    <row r="170" spans="1:25" ht="49.5" customHeight="1">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20"/>
      <c r="S170" s="120"/>
      <c r="T170" s="120"/>
      <c r="U170" s="120"/>
      <c r="V170" s="120"/>
      <c r="W170" s="117"/>
      <c r="X170" s="117">
        <f t="shared" si="2"/>
        <v>0</v>
      </c>
      <c r="Y170" s="97"/>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20"/>
      <c r="S171" s="120"/>
      <c r="T171" s="120"/>
      <c r="U171" s="120"/>
      <c r="V171" s="120"/>
      <c r="W171" s="117"/>
      <c r="X171" s="117">
        <f t="shared" si="2"/>
        <v>0</v>
      </c>
      <c r="Y171" s="97"/>
    </row>
    <row r="172" spans="1:25" ht="47.25">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20"/>
      <c r="S172" s="121"/>
      <c r="T172" s="121"/>
      <c r="U172" s="120"/>
      <c r="V172" s="120"/>
      <c r="W172" s="117"/>
      <c r="X172" s="117">
        <f t="shared" si="2"/>
        <v>0</v>
      </c>
      <c r="Y172" s="135"/>
    </row>
    <row r="173" spans="1:25" ht="15.7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20"/>
      <c r="S173" s="120"/>
      <c r="T173" s="120"/>
      <c r="U173" s="120"/>
      <c r="V173" s="120"/>
      <c r="W173" s="117"/>
      <c r="X173" s="117">
        <f t="shared" si="2"/>
        <v>0</v>
      </c>
      <c r="Y173" s="97"/>
    </row>
    <row r="174" spans="1:25" ht="31.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20"/>
      <c r="S174" s="120"/>
      <c r="T174" s="120"/>
      <c r="U174" s="120"/>
      <c r="V174" s="120"/>
      <c r="W174" s="117"/>
      <c r="X174" s="117">
        <f t="shared" si="2"/>
        <v>0</v>
      </c>
      <c r="Y174" s="97"/>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20"/>
      <c r="S175" s="120"/>
      <c r="T175" s="120"/>
      <c r="U175" s="120"/>
      <c r="V175" s="120"/>
      <c r="W175" s="117"/>
      <c r="X175" s="117">
        <f t="shared" si="2"/>
        <v>0</v>
      </c>
      <c r="Y175" s="97"/>
    </row>
    <row r="176" spans="1:25" ht="31.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20"/>
      <c r="S176" s="120"/>
      <c r="T176" s="120"/>
      <c r="U176" s="120"/>
      <c r="V176" s="120"/>
      <c r="W176" s="117"/>
      <c r="X176" s="117">
        <f t="shared" si="2"/>
        <v>0</v>
      </c>
      <c r="Y176" s="97"/>
    </row>
    <row r="177" spans="1:25" ht="15.7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20"/>
      <c r="S177" s="120"/>
      <c r="T177" s="120"/>
      <c r="U177" s="120"/>
      <c r="V177" s="120"/>
      <c r="W177" s="117"/>
      <c r="X177" s="117">
        <f t="shared" si="2"/>
        <v>0</v>
      </c>
      <c r="Y177" s="97"/>
    </row>
    <row r="178" spans="1:25" ht="63">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20"/>
      <c r="S178" s="120"/>
      <c r="T178" s="120"/>
      <c r="U178" s="120"/>
      <c r="V178" s="120"/>
      <c r="W178" s="117"/>
      <c r="X178" s="117">
        <f t="shared" si="2"/>
        <v>0</v>
      </c>
      <c r="Y178" s="97"/>
    </row>
    <row r="179" spans="1:25" ht="94.5">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20"/>
      <c r="S179" s="120"/>
      <c r="T179" s="120"/>
      <c r="U179" s="120"/>
      <c r="V179" s="120"/>
      <c r="W179" s="117"/>
      <c r="X179" s="117">
        <f t="shared" si="2"/>
        <v>0</v>
      </c>
      <c r="Y179" s="97"/>
    </row>
    <row r="180" spans="1:25" ht="31.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20"/>
      <c r="S180" s="120"/>
      <c r="T180" s="120"/>
      <c r="U180" s="120"/>
      <c r="V180" s="120"/>
      <c r="W180" s="117"/>
      <c r="X180" s="117">
        <f t="shared" si="2"/>
        <v>0</v>
      </c>
      <c r="Y180" s="97"/>
    </row>
    <row r="181" spans="1:25" ht="31.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20"/>
      <c r="S181" s="122"/>
      <c r="T181" s="122"/>
      <c r="U181" s="120"/>
      <c r="V181" s="120"/>
      <c r="W181" s="117"/>
      <c r="X181" s="117">
        <f t="shared" si="2"/>
        <v>0</v>
      </c>
      <c r="Y181" s="97"/>
    </row>
    <row r="182" spans="1:25" ht="31.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20"/>
      <c r="S182" s="120"/>
      <c r="T182" s="120"/>
      <c r="U182" s="120"/>
      <c r="V182" s="120"/>
      <c r="W182" s="117"/>
      <c r="X182" s="117">
        <f t="shared" si="2"/>
        <v>0</v>
      </c>
      <c r="Y182" s="97"/>
    </row>
    <row r="183" spans="1:25" ht="15.7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20"/>
      <c r="S183" s="122"/>
      <c r="T183" s="122"/>
      <c r="U183" s="120"/>
      <c r="V183" s="120"/>
      <c r="W183" s="117"/>
      <c r="X183" s="117">
        <f t="shared" si="2"/>
        <v>0</v>
      </c>
      <c r="Y183" s="97"/>
    </row>
    <row r="184" spans="1:25" ht="157.5">
      <c r="A184" s="469"/>
      <c r="B184" s="476" t="s">
        <v>282</v>
      </c>
      <c r="C184" s="476" t="s">
        <v>230</v>
      </c>
      <c r="D184" s="106">
        <v>175</v>
      </c>
      <c r="E184" s="106" t="s">
        <v>231</v>
      </c>
      <c r="F184" s="167"/>
      <c r="G184" s="167"/>
      <c r="H184" s="167"/>
      <c r="I184" s="167"/>
      <c r="J184" s="116">
        <f t="shared" si="15"/>
        <v>0</v>
      </c>
      <c r="K184" s="168"/>
      <c r="L184" s="168">
        <v>0</v>
      </c>
      <c r="M184" s="167"/>
      <c r="N184" s="167"/>
      <c r="O184" s="167"/>
      <c r="P184" s="116">
        <f t="shared" si="16"/>
        <v>0</v>
      </c>
      <c r="Q184" s="167"/>
      <c r="R184" s="167"/>
      <c r="S184" s="168"/>
      <c r="T184" s="168">
        <v>54.86</v>
      </c>
      <c r="U184" s="168"/>
      <c r="V184" s="168"/>
      <c r="W184" s="117"/>
      <c r="X184" s="117">
        <f t="shared" si="2"/>
        <v>54.86</v>
      </c>
      <c r="Y184" s="97" t="s">
        <v>679</v>
      </c>
    </row>
    <row r="185" spans="1:25" ht="330.75">
      <c r="A185" s="469"/>
      <c r="B185" s="469"/>
      <c r="C185" s="469"/>
      <c r="D185" s="106">
        <v>176</v>
      </c>
      <c r="E185" s="106" t="s">
        <v>232</v>
      </c>
      <c r="F185" s="120"/>
      <c r="G185" s="120"/>
      <c r="H185" s="120"/>
      <c r="I185" s="120"/>
      <c r="J185" s="116">
        <f t="shared" si="15"/>
        <v>0</v>
      </c>
      <c r="K185" s="120"/>
      <c r="L185" s="120"/>
      <c r="M185" s="120"/>
      <c r="N185" s="120"/>
      <c r="O185" s="120"/>
      <c r="P185" s="116">
        <f t="shared" si="16"/>
        <v>0</v>
      </c>
      <c r="Q185" s="121"/>
      <c r="R185" s="121">
        <v>11</v>
      </c>
      <c r="S185" s="121"/>
      <c r="T185" s="121">
        <f>6.594+11+0.5</f>
        <v>18.094000000000001</v>
      </c>
      <c r="U185" s="120"/>
      <c r="V185" s="120"/>
      <c r="W185" s="117"/>
      <c r="X185" s="117">
        <f t="shared" si="2"/>
        <v>29.094000000000001</v>
      </c>
      <c r="Y185" s="135" t="s">
        <v>680</v>
      </c>
    </row>
    <row r="186" spans="1:25" ht="29.25" hidden="1" customHeight="1">
      <c r="A186" s="469"/>
      <c r="B186" s="469"/>
      <c r="C186" s="469"/>
      <c r="D186" s="106">
        <v>177</v>
      </c>
      <c r="E186" s="106" t="s">
        <v>233</v>
      </c>
      <c r="F186" s="120"/>
      <c r="G186" s="120"/>
      <c r="H186" s="120"/>
      <c r="I186" s="120"/>
      <c r="J186" s="116">
        <f t="shared" si="15"/>
        <v>0</v>
      </c>
      <c r="K186" s="120"/>
      <c r="L186" s="120"/>
      <c r="M186" s="120"/>
      <c r="N186" s="120"/>
      <c r="O186" s="120"/>
      <c r="P186" s="116">
        <f t="shared" si="16"/>
        <v>0</v>
      </c>
      <c r="Q186" s="120"/>
      <c r="R186" s="120"/>
      <c r="S186" s="120"/>
      <c r="T186" s="120"/>
      <c r="U186" s="120"/>
      <c r="V186" s="120"/>
      <c r="W186" s="117"/>
      <c r="X186" s="117">
        <f t="shared" si="2"/>
        <v>0</v>
      </c>
      <c r="Y186" s="135"/>
    </row>
    <row r="187" spans="1:25" ht="204.75">
      <c r="A187" s="469"/>
      <c r="B187" s="476" t="s">
        <v>283</v>
      </c>
      <c r="C187" s="476" t="s">
        <v>284</v>
      </c>
      <c r="D187" s="106">
        <v>178</v>
      </c>
      <c r="E187" s="106" t="s">
        <v>285</v>
      </c>
      <c r="F187" s="120"/>
      <c r="G187" s="120"/>
      <c r="H187" s="120"/>
      <c r="I187" s="120"/>
      <c r="J187" s="116">
        <f t="shared" si="15"/>
        <v>0</v>
      </c>
      <c r="K187" s="120"/>
      <c r="L187" s="120"/>
      <c r="M187" s="120"/>
      <c r="N187" s="120"/>
      <c r="O187" s="120"/>
      <c r="P187" s="116">
        <f t="shared" si="16"/>
        <v>0</v>
      </c>
      <c r="Q187" s="120"/>
      <c r="R187" s="120"/>
      <c r="S187" s="120"/>
      <c r="T187" s="120"/>
      <c r="U187" s="120"/>
      <c r="V187" s="120"/>
      <c r="W187" s="117"/>
      <c r="X187" s="117">
        <f t="shared" si="2"/>
        <v>0</v>
      </c>
      <c r="Y187" s="97" t="s">
        <v>337</v>
      </c>
    </row>
    <row r="188" spans="1:25" ht="15.75">
      <c r="A188" s="469"/>
      <c r="B188" s="469"/>
      <c r="C188" s="469"/>
      <c r="D188" s="106">
        <v>179</v>
      </c>
      <c r="E188" s="106" t="s">
        <v>125</v>
      </c>
      <c r="F188" s="120"/>
      <c r="G188" s="120"/>
      <c r="H188" s="120"/>
      <c r="I188" s="120"/>
      <c r="J188" s="116">
        <f t="shared" si="15"/>
        <v>0</v>
      </c>
      <c r="K188" s="120"/>
      <c r="L188" s="120"/>
      <c r="M188" s="120"/>
      <c r="N188" s="120"/>
      <c r="O188" s="120"/>
      <c r="P188" s="116">
        <f t="shared" si="16"/>
        <v>0</v>
      </c>
      <c r="Q188" s="120"/>
      <c r="R188" s="120"/>
      <c r="S188" s="120"/>
      <c r="T188" s="120"/>
      <c r="U188" s="120"/>
      <c r="V188" s="120"/>
      <c r="W188" s="117"/>
      <c r="X188" s="117">
        <f t="shared" si="2"/>
        <v>0</v>
      </c>
      <c r="Y188" s="252"/>
    </row>
    <row r="189" spans="1:25" ht="31.5">
      <c r="A189" s="469"/>
      <c r="B189" s="469"/>
      <c r="C189" s="469"/>
      <c r="D189" s="106">
        <v>180</v>
      </c>
      <c r="E189" s="106" t="s">
        <v>286</v>
      </c>
      <c r="F189" s="120"/>
      <c r="G189" s="120"/>
      <c r="H189" s="120"/>
      <c r="I189" s="120"/>
      <c r="J189" s="116">
        <f t="shared" si="15"/>
        <v>0</v>
      </c>
      <c r="K189" s="120"/>
      <c r="L189" s="120"/>
      <c r="M189" s="120"/>
      <c r="N189" s="120"/>
      <c r="O189" s="122"/>
      <c r="P189" s="117">
        <f t="shared" si="16"/>
        <v>0</v>
      </c>
      <c r="Q189" s="120"/>
      <c r="R189" s="120"/>
      <c r="S189" s="121"/>
      <c r="T189" s="121"/>
      <c r="U189" s="120"/>
      <c r="V189" s="120"/>
      <c r="W189" s="117"/>
      <c r="X189" s="117">
        <f t="shared" si="2"/>
        <v>0</v>
      </c>
      <c r="Y189" s="252"/>
    </row>
    <row r="190" spans="1:25" ht="31.5">
      <c r="A190" s="469"/>
      <c r="B190" s="469"/>
      <c r="C190" s="469"/>
      <c r="D190" s="106">
        <v>181</v>
      </c>
      <c r="E190" s="106" t="s">
        <v>287</v>
      </c>
      <c r="F190" s="120"/>
      <c r="G190" s="120"/>
      <c r="H190" s="120"/>
      <c r="I190" s="120"/>
      <c r="J190" s="116">
        <f t="shared" si="15"/>
        <v>0</v>
      </c>
      <c r="K190" s="120"/>
      <c r="L190" s="120"/>
      <c r="M190" s="120"/>
      <c r="N190" s="120"/>
      <c r="O190" s="120"/>
      <c r="P190" s="116">
        <f t="shared" si="16"/>
        <v>0</v>
      </c>
      <c r="Q190" s="120"/>
      <c r="R190" s="120"/>
      <c r="S190" s="120"/>
      <c r="T190" s="120"/>
      <c r="U190" s="120"/>
      <c r="V190" s="120"/>
      <c r="W190" s="117"/>
      <c r="X190" s="117">
        <f t="shared" si="2"/>
        <v>0</v>
      </c>
      <c r="Y190" s="252"/>
    </row>
    <row r="191" spans="1:25" ht="31.5">
      <c r="A191" s="469"/>
      <c r="B191" s="469"/>
      <c r="C191" s="469"/>
      <c r="D191" s="106">
        <v>182</v>
      </c>
      <c r="E191" s="106" t="s">
        <v>288</v>
      </c>
      <c r="F191" s="120"/>
      <c r="G191" s="120"/>
      <c r="H191" s="120"/>
      <c r="I191" s="120"/>
      <c r="J191" s="116">
        <f t="shared" si="15"/>
        <v>0</v>
      </c>
      <c r="K191" s="120"/>
      <c r="L191" s="120"/>
      <c r="M191" s="120"/>
      <c r="N191" s="120"/>
      <c r="O191" s="120"/>
      <c r="P191" s="116">
        <f t="shared" si="16"/>
        <v>0</v>
      </c>
      <c r="Q191" s="120"/>
      <c r="R191" s="120"/>
      <c r="S191" s="122"/>
      <c r="T191" s="122"/>
      <c r="U191" s="120"/>
      <c r="V191" s="120"/>
      <c r="W191" s="117"/>
      <c r="X191" s="117">
        <f t="shared" si="2"/>
        <v>0</v>
      </c>
      <c r="Y191" s="252"/>
    </row>
    <row r="192" spans="1:25" ht="63" hidden="1">
      <c r="A192" s="469"/>
      <c r="B192" s="469"/>
      <c r="C192" s="469"/>
      <c r="D192" s="106">
        <v>183</v>
      </c>
      <c r="E192" s="106" t="s">
        <v>289</v>
      </c>
      <c r="F192" s="120"/>
      <c r="G192" s="120"/>
      <c r="H192" s="120"/>
      <c r="I192" s="120"/>
      <c r="J192" s="116">
        <f t="shared" si="15"/>
        <v>0</v>
      </c>
      <c r="K192" s="120"/>
      <c r="L192" s="120"/>
      <c r="M192" s="120"/>
      <c r="N192" s="120"/>
      <c r="O192" s="120"/>
      <c r="P192" s="116">
        <f t="shared" si="16"/>
        <v>0</v>
      </c>
      <c r="Q192" s="120"/>
      <c r="R192" s="120"/>
      <c r="S192" s="121"/>
      <c r="T192" s="121"/>
      <c r="U192" s="120"/>
      <c r="V192" s="120"/>
      <c r="W192" s="117"/>
      <c r="X192" s="117">
        <f t="shared" si="2"/>
        <v>0</v>
      </c>
      <c r="Y192" s="252"/>
    </row>
    <row r="193" spans="1:25" ht="63">
      <c r="A193" s="469"/>
      <c r="B193" s="106" t="s">
        <v>290</v>
      </c>
      <c r="C193" s="106" t="s">
        <v>291</v>
      </c>
      <c r="D193" s="106">
        <v>184</v>
      </c>
      <c r="E193" s="106" t="s">
        <v>292</v>
      </c>
      <c r="F193" s="120"/>
      <c r="G193" s="120"/>
      <c r="H193" s="120"/>
      <c r="I193" s="120"/>
      <c r="J193" s="116">
        <f t="shared" si="15"/>
        <v>0</v>
      </c>
      <c r="K193" s="120"/>
      <c r="L193" s="120"/>
      <c r="M193" s="120"/>
      <c r="N193" s="120"/>
      <c r="O193" s="120"/>
      <c r="P193" s="116">
        <f t="shared" si="16"/>
        <v>0</v>
      </c>
      <c r="Q193" s="120"/>
      <c r="R193" s="120"/>
      <c r="S193" s="122"/>
      <c r="T193" s="122"/>
      <c r="U193" s="120"/>
      <c r="V193" s="120"/>
      <c r="W193" s="117"/>
      <c r="X193" s="117">
        <f t="shared" si="2"/>
        <v>0</v>
      </c>
      <c r="Y193" s="252"/>
    </row>
    <row r="194" spans="1:25" ht="31.5">
      <c r="A194" s="469"/>
      <c r="B194" s="476" t="s">
        <v>293</v>
      </c>
      <c r="C194" s="476" t="s">
        <v>235</v>
      </c>
      <c r="D194" s="106">
        <v>185</v>
      </c>
      <c r="E194" s="106" t="s">
        <v>236</v>
      </c>
      <c r="F194" s="120"/>
      <c r="G194" s="120"/>
      <c r="H194" s="120"/>
      <c r="I194" s="120"/>
      <c r="J194" s="116">
        <f t="shared" si="15"/>
        <v>0</v>
      </c>
      <c r="K194" s="120"/>
      <c r="L194" s="120"/>
      <c r="M194" s="120"/>
      <c r="N194" s="120"/>
      <c r="O194" s="120"/>
      <c r="P194" s="116">
        <f t="shared" si="16"/>
        <v>0</v>
      </c>
      <c r="Q194" s="120"/>
      <c r="R194" s="120"/>
      <c r="S194" s="120"/>
      <c r="T194" s="151">
        <v>2792.8942879999995</v>
      </c>
      <c r="U194" s="120"/>
      <c r="V194" s="120"/>
      <c r="W194" s="117"/>
      <c r="X194" s="117">
        <f t="shared" si="2"/>
        <v>2792.8942879999995</v>
      </c>
      <c r="Y194" s="98" t="s">
        <v>992</v>
      </c>
    </row>
    <row r="195" spans="1:25" ht="315">
      <c r="A195" s="469"/>
      <c r="B195" s="469"/>
      <c r="C195" s="469"/>
      <c r="D195" s="106">
        <v>186</v>
      </c>
      <c r="E195" s="106" t="s">
        <v>237</v>
      </c>
      <c r="F195" s="118">
        <v>8.1000000000000003E-2</v>
      </c>
      <c r="G195" s="120"/>
      <c r="H195" s="120"/>
      <c r="I195" s="120"/>
      <c r="J195" s="116">
        <f t="shared" si="15"/>
        <v>0</v>
      </c>
      <c r="K195" s="120"/>
      <c r="L195" s="120"/>
      <c r="M195" s="120"/>
      <c r="N195" s="120"/>
      <c r="O195" s="120"/>
      <c r="P195" s="116">
        <f t="shared" si="16"/>
        <v>0</v>
      </c>
      <c r="Q195" s="120"/>
      <c r="R195" s="120"/>
      <c r="S195" s="121"/>
      <c r="T195" s="130">
        <f>7.4+36.621</f>
        <v>44.021000000000001</v>
      </c>
      <c r="U195" s="120"/>
      <c r="V195" s="120"/>
      <c r="W195" s="117"/>
      <c r="X195" s="117">
        <f t="shared" si="2"/>
        <v>44.102000000000004</v>
      </c>
      <c r="Y195" s="97" t="s">
        <v>966</v>
      </c>
    </row>
    <row r="196" spans="1:25" ht="31.5">
      <c r="A196" s="469"/>
      <c r="B196" s="469"/>
      <c r="C196" s="469"/>
      <c r="D196" s="106">
        <v>187</v>
      </c>
      <c r="E196" s="106" t="s">
        <v>294</v>
      </c>
      <c r="F196" s="120"/>
      <c r="G196" s="120"/>
      <c r="H196" s="120"/>
      <c r="I196" s="120"/>
      <c r="J196" s="116">
        <f t="shared" si="15"/>
        <v>0</v>
      </c>
      <c r="K196" s="120"/>
      <c r="L196" s="120"/>
      <c r="M196" s="120"/>
      <c r="N196" s="120"/>
      <c r="O196" s="120"/>
      <c r="P196" s="116">
        <f t="shared" si="16"/>
        <v>0</v>
      </c>
      <c r="Q196" s="120"/>
      <c r="R196" s="120"/>
      <c r="S196" s="120"/>
      <c r="T196" s="258">
        <v>1140.489</v>
      </c>
      <c r="U196" s="120"/>
      <c r="V196" s="120"/>
      <c r="W196" s="117"/>
      <c r="X196" s="117">
        <f t="shared" si="2"/>
        <v>1140.489</v>
      </c>
      <c r="Y196" s="98" t="s">
        <v>993</v>
      </c>
    </row>
    <row r="197" spans="1:25" ht="31.5">
      <c r="A197" s="469"/>
      <c r="B197" s="469"/>
      <c r="C197" s="469"/>
      <c r="D197" s="106">
        <v>188</v>
      </c>
      <c r="E197" s="106" t="s">
        <v>238</v>
      </c>
      <c r="F197" s="120"/>
      <c r="G197" s="120"/>
      <c r="H197" s="120"/>
      <c r="I197" s="120"/>
      <c r="J197" s="116">
        <f t="shared" si="15"/>
        <v>0</v>
      </c>
      <c r="K197" s="120"/>
      <c r="L197" s="120"/>
      <c r="M197" s="120"/>
      <c r="N197" s="120"/>
      <c r="O197" s="120"/>
      <c r="P197" s="116">
        <f t="shared" si="16"/>
        <v>0</v>
      </c>
      <c r="Q197" s="120"/>
      <c r="R197" s="120"/>
      <c r="S197" s="120"/>
      <c r="T197" s="120"/>
      <c r="U197" s="120"/>
      <c r="V197" s="120"/>
      <c r="W197" s="117"/>
      <c r="X197" s="117">
        <f t="shared" si="2"/>
        <v>0</v>
      </c>
      <c r="Y197" s="97"/>
    </row>
    <row r="198" spans="1:25" ht="47.25">
      <c r="A198" s="469"/>
      <c r="B198" s="469"/>
      <c r="C198" s="469"/>
      <c r="D198" s="106">
        <v>189</v>
      </c>
      <c r="E198" s="106" t="s">
        <v>295</v>
      </c>
      <c r="F198" s="120"/>
      <c r="G198" s="120"/>
      <c r="H198" s="120"/>
      <c r="I198" s="120"/>
      <c r="J198" s="116">
        <f t="shared" si="15"/>
        <v>0</v>
      </c>
      <c r="K198" s="120"/>
      <c r="L198" s="120"/>
      <c r="M198" s="120"/>
      <c r="N198" s="120"/>
      <c r="O198" s="120"/>
      <c r="P198" s="116">
        <f t="shared" si="16"/>
        <v>0</v>
      </c>
      <c r="Q198" s="120"/>
      <c r="R198" s="120"/>
      <c r="S198" s="120"/>
      <c r="T198" s="120"/>
      <c r="U198" s="120"/>
      <c r="V198" s="120"/>
      <c r="W198" s="117"/>
      <c r="X198" s="117">
        <f t="shared" si="2"/>
        <v>0</v>
      </c>
      <c r="Y198" s="97"/>
    </row>
    <row r="199" spans="1:25" ht="47.25" hidden="1">
      <c r="A199" s="469"/>
      <c r="B199" s="469"/>
      <c r="C199" s="469"/>
      <c r="D199" s="106">
        <v>190</v>
      </c>
      <c r="E199" s="106" t="s">
        <v>296</v>
      </c>
      <c r="F199" s="120"/>
      <c r="G199" s="120"/>
      <c r="H199" s="120"/>
      <c r="I199" s="120"/>
      <c r="J199" s="116">
        <f t="shared" si="15"/>
        <v>0</v>
      </c>
      <c r="K199" s="120"/>
      <c r="L199" s="120"/>
      <c r="M199" s="120"/>
      <c r="N199" s="120"/>
      <c r="O199" s="120"/>
      <c r="P199" s="116">
        <f t="shared" si="16"/>
        <v>0</v>
      </c>
      <c r="Q199" s="120"/>
      <c r="R199" s="120"/>
      <c r="S199" s="121"/>
      <c r="T199" s="121"/>
      <c r="U199" s="120"/>
      <c r="V199" s="120"/>
      <c r="W199" s="117"/>
      <c r="X199" s="117">
        <f t="shared" si="2"/>
        <v>0</v>
      </c>
      <c r="Y199" s="97"/>
    </row>
    <row r="200" spans="1:25" ht="31.5">
      <c r="A200" s="469"/>
      <c r="B200" s="476" t="s">
        <v>297</v>
      </c>
      <c r="C200" s="476" t="s">
        <v>298</v>
      </c>
      <c r="D200" s="106">
        <v>191</v>
      </c>
      <c r="E200" s="106" t="s">
        <v>299</v>
      </c>
      <c r="F200" s="120"/>
      <c r="G200" s="120"/>
      <c r="H200" s="120"/>
      <c r="I200" s="120"/>
      <c r="J200" s="116">
        <f t="shared" si="15"/>
        <v>0</v>
      </c>
      <c r="K200" s="120"/>
      <c r="L200" s="120"/>
      <c r="M200" s="120"/>
      <c r="N200" s="120"/>
      <c r="O200" s="120"/>
      <c r="P200" s="116">
        <f t="shared" si="16"/>
        <v>0</v>
      </c>
      <c r="Q200" s="120"/>
      <c r="R200" s="120"/>
      <c r="S200" s="120"/>
      <c r="T200" s="120"/>
      <c r="U200" s="120"/>
      <c r="V200" s="120"/>
      <c r="W200" s="117"/>
      <c r="X200" s="117">
        <f t="shared" si="2"/>
        <v>0</v>
      </c>
      <c r="Y200" s="135"/>
    </row>
    <row r="201" spans="1:25" ht="31.5">
      <c r="A201" s="469"/>
      <c r="B201" s="469"/>
      <c r="C201" s="469"/>
      <c r="D201" s="106">
        <v>192</v>
      </c>
      <c r="E201" s="106" t="s">
        <v>300</v>
      </c>
      <c r="F201" s="120"/>
      <c r="G201" s="120"/>
      <c r="H201" s="120"/>
      <c r="I201" s="121"/>
      <c r="J201" s="125">
        <f t="shared" si="15"/>
        <v>0</v>
      </c>
      <c r="K201" s="120"/>
      <c r="L201" s="120"/>
      <c r="M201" s="120"/>
      <c r="N201" s="120"/>
      <c r="O201" s="120"/>
      <c r="P201" s="116">
        <f t="shared" si="16"/>
        <v>0</v>
      </c>
      <c r="Q201" s="120"/>
      <c r="R201" s="120"/>
      <c r="S201" s="122"/>
      <c r="T201" s="122"/>
      <c r="U201" s="120"/>
      <c r="V201" s="120"/>
      <c r="W201" s="117"/>
      <c r="X201" s="117">
        <f t="shared" si="2"/>
        <v>0</v>
      </c>
      <c r="Y201" s="135"/>
    </row>
    <row r="202" spans="1:25" ht="47.25">
      <c r="A202" s="469"/>
      <c r="B202" s="476" t="s">
        <v>301</v>
      </c>
      <c r="C202" s="476" t="s">
        <v>241</v>
      </c>
      <c r="D202" s="106">
        <v>193</v>
      </c>
      <c r="E202" s="106" t="s">
        <v>302</v>
      </c>
      <c r="F202" s="120"/>
      <c r="G202" s="120"/>
      <c r="H202" s="120"/>
      <c r="I202" s="120"/>
      <c r="J202" s="116">
        <f t="shared" si="15"/>
        <v>0</v>
      </c>
      <c r="K202" s="120"/>
      <c r="L202" s="120"/>
      <c r="M202" s="120"/>
      <c r="N202" s="120"/>
      <c r="O202" s="120"/>
      <c r="P202" s="116">
        <f t="shared" si="16"/>
        <v>0</v>
      </c>
      <c r="Q202" s="120"/>
      <c r="R202" s="120"/>
      <c r="S202" s="122"/>
      <c r="T202" s="122"/>
      <c r="U202" s="121"/>
      <c r="V202" s="121"/>
      <c r="W202" s="117"/>
      <c r="X202" s="117">
        <f t="shared" si="2"/>
        <v>0</v>
      </c>
      <c r="Y202" s="97"/>
    </row>
    <row r="203" spans="1:25" ht="47.25">
      <c r="A203" s="469"/>
      <c r="B203" s="469"/>
      <c r="C203" s="469"/>
      <c r="D203" s="106">
        <v>194</v>
      </c>
      <c r="E203" s="106" t="s">
        <v>242</v>
      </c>
      <c r="F203" s="120"/>
      <c r="G203" s="120"/>
      <c r="H203" s="120"/>
      <c r="I203" s="120"/>
      <c r="J203" s="116">
        <f t="shared" si="15"/>
        <v>0</v>
      </c>
      <c r="K203" s="120"/>
      <c r="L203" s="120"/>
      <c r="M203" s="120"/>
      <c r="N203" s="120"/>
      <c r="O203" s="120"/>
      <c r="P203" s="116">
        <f t="shared" si="16"/>
        <v>0</v>
      </c>
      <c r="Q203" s="120"/>
      <c r="R203" s="120"/>
      <c r="S203" s="120"/>
      <c r="T203" s="151">
        <v>92.88</v>
      </c>
      <c r="U203" s="120"/>
      <c r="V203" s="120"/>
      <c r="W203" s="117"/>
      <c r="X203" s="117">
        <f t="shared" si="2"/>
        <v>92.88</v>
      </c>
      <c r="Y203" s="98" t="s">
        <v>1221</v>
      </c>
    </row>
    <row r="204" spans="1:25" ht="63">
      <c r="A204" s="469"/>
      <c r="B204" s="476" t="s">
        <v>303</v>
      </c>
      <c r="C204" s="476" t="s">
        <v>304</v>
      </c>
      <c r="D204" s="106">
        <v>195</v>
      </c>
      <c r="E204" s="106" t="s">
        <v>305</v>
      </c>
      <c r="F204" s="120"/>
      <c r="G204" s="120"/>
      <c r="H204" s="120"/>
      <c r="I204" s="120"/>
      <c r="J204" s="116">
        <f t="shared" si="15"/>
        <v>0</v>
      </c>
      <c r="K204" s="120"/>
      <c r="L204" s="120"/>
      <c r="M204" s="120"/>
      <c r="N204" s="120"/>
      <c r="O204" s="120"/>
      <c r="P204" s="116">
        <f t="shared" si="16"/>
        <v>0</v>
      </c>
      <c r="Q204" s="120"/>
      <c r="R204" s="120"/>
      <c r="S204" s="122"/>
      <c r="T204" s="122"/>
      <c r="U204" s="120"/>
      <c r="V204" s="120"/>
      <c r="W204" s="117"/>
      <c r="X204" s="117">
        <f t="shared" si="2"/>
        <v>0</v>
      </c>
      <c r="Y204" s="97"/>
    </row>
    <row r="205" spans="1:25" ht="31.5">
      <c r="A205" s="469"/>
      <c r="B205" s="469"/>
      <c r="C205" s="469"/>
      <c r="D205" s="106">
        <v>196</v>
      </c>
      <c r="E205" s="106" t="s">
        <v>306</v>
      </c>
      <c r="F205" s="120"/>
      <c r="G205" s="120"/>
      <c r="H205" s="120"/>
      <c r="I205" s="120"/>
      <c r="J205" s="116">
        <f t="shared" si="15"/>
        <v>0</v>
      </c>
      <c r="K205" s="120"/>
      <c r="L205" s="120"/>
      <c r="M205" s="120"/>
      <c r="N205" s="120"/>
      <c r="O205" s="120"/>
      <c r="P205" s="116">
        <f t="shared" si="16"/>
        <v>0</v>
      </c>
      <c r="Q205" s="120"/>
      <c r="R205" s="120"/>
      <c r="S205" s="120"/>
      <c r="T205" s="120"/>
      <c r="U205" s="120"/>
      <c r="V205" s="120"/>
      <c r="W205" s="117"/>
      <c r="X205" s="117">
        <f t="shared" si="2"/>
        <v>0</v>
      </c>
      <c r="Y205" s="97"/>
    </row>
    <row r="206" spans="1:25" ht="31.5">
      <c r="A206" s="469"/>
      <c r="B206" s="469"/>
      <c r="C206" s="469"/>
      <c r="D206" s="106">
        <v>197</v>
      </c>
      <c r="E206" s="106" t="s">
        <v>307</v>
      </c>
      <c r="F206" s="135"/>
      <c r="G206" s="135"/>
      <c r="H206" s="135"/>
      <c r="I206" s="135"/>
      <c r="J206" s="116">
        <f t="shared" si="15"/>
        <v>0</v>
      </c>
      <c r="K206" s="135"/>
      <c r="L206" s="135"/>
      <c r="M206" s="135"/>
      <c r="N206" s="135"/>
      <c r="O206" s="135"/>
      <c r="P206" s="116">
        <f t="shared" si="16"/>
        <v>0</v>
      </c>
      <c r="Q206" s="135"/>
      <c r="R206" s="135"/>
      <c r="S206" s="170"/>
      <c r="T206" s="170"/>
      <c r="U206" s="129"/>
      <c r="V206" s="129"/>
      <c r="W206" s="171"/>
      <c r="X206" s="117">
        <f t="shared" si="2"/>
        <v>0</v>
      </c>
      <c r="Y206" s="97"/>
    </row>
    <row r="207" spans="1:25" ht="63">
      <c r="A207" s="469"/>
      <c r="B207" s="106" t="s">
        <v>308</v>
      </c>
      <c r="C207" s="106" t="s">
        <v>246</v>
      </c>
      <c r="D207" s="106">
        <v>198</v>
      </c>
      <c r="E207" s="106" t="s">
        <v>247</v>
      </c>
      <c r="F207" s="120"/>
      <c r="G207" s="120"/>
      <c r="H207" s="120"/>
      <c r="I207" s="120"/>
      <c r="J207" s="116">
        <f t="shared" si="15"/>
        <v>0</v>
      </c>
      <c r="K207" s="120"/>
      <c r="L207" s="120"/>
      <c r="M207" s="120"/>
      <c r="N207" s="120"/>
      <c r="O207" s="120"/>
      <c r="P207" s="116">
        <f t="shared" si="16"/>
        <v>0</v>
      </c>
      <c r="Q207" s="120"/>
      <c r="R207" s="120"/>
      <c r="S207" s="120"/>
      <c r="T207" s="120"/>
      <c r="U207" s="120"/>
      <c r="V207" s="120"/>
      <c r="W207" s="117"/>
      <c r="X207" s="117">
        <f t="shared" si="2"/>
        <v>0</v>
      </c>
      <c r="Y207" s="97"/>
    </row>
    <row r="208" spans="1:25" ht="77.25" customHeight="1">
      <c r="A208" s="469"/>
      <c r="B208" s="106" t="s">
        <v>309</v>
      </c>
      <c r="C208" s="106" t="s">
        <v>249</v>
      </c>
      <c r="D208" s="106">
        <v>199</v>
      </c>
      <c r="E208" s="106" t="s">
        <v>250</v>
      </c>
      <c r="F208" s="151"/>
      <c r="G208" s="151"/>
      <c r="H208" s="151"/>
      <c r="I208" s="151"/>
      <c r="J208" s="116">
        <f t="shared" si="15"/>
        <v>0</v>
      </c>
      <c r="K208" s="151"/>
      <c r="L208" s="151"/>
      <c r="M208" s="151"/>
      <c r="N208" s="151"/>
      <c r="O208" s="151"/>
      <c r="P208" s="116">
        <f t="shared" si="16"/>
        <v>0</v>
      </c>
      <c r="Q208" s="151"/>
      <c r="R208" s="151"/>
      <c r="S208" s="151"/>
      <c r="T208" s="151">
        <v>86.75</v>
      </c>
      <c r="U208" s="151"/>
      <c r="V208" s="151"/>
      <c r="W208" s="117"/>
      <c r="X208" s="117">
        <f t="shared" si="2"/>
        <v>86.75</v>
      </c>
      <c r="Y208" s="98" t="s">
        <v>979</v>
      </c>
    </row>
    <row r="209" spans="1:25" ht="63">
      <c r="A209" s="469"/>
      <c r="B209" s="106" t="s">
        <v>310</v>
      </c>
      <c r="C209" s="172" t="s">
        <v>311</v>
      </c>
      <c r="D209" s="106">
        <v>200</v>
      </c>
      <c r="E209" s="106" t="s">
        <v>312</v>
      </c>
      <c r="F209" s="173"/>
      <c r="G209" s="173"/>
      <c r="H209" s="173"/>
      <c r="I209" s="173"/>
      <c r="J209" s="116">
        <f t="shared" si="15"/>
        <v>0</v>
      </c>
      <c r="K209" s="173"/>
      <c r="L209" s="173"/>
      <c r="M209" s="173"/>
      <c r="N209" s="173"/>
      <c r="O209" s="173"/>
      <c r="P209" s="116">
        <f t="shared" si="16"/>
        <v>0</v>
      </c>
      <c r="Q209" s="173"/>
      <c r="R209" s="173"/>
      <c r="S209" s="173"/>
      <c r="T209" s="173"/>
      <c r="U209" s="173"/>
      <c r="V209" s="173"/>
      <c r="W209" s="117"/>
      <c r="X209" s="117">
        <f t="shared" si="2"/>
        <v>0</v>
      </c>
      <c r="Y209" s="135"/>
    </row>
    <row r="210" spans="1:25" ht="78.75">
      <c r="A210" s="469"/>
      <c r="B210" s="174" t="s">
        <v>313</v>
      </c>
      <c r="C210" s="174" t="s">
        <v>314</v>
      </c>
      <c r="D210" s="175">
        <v>201</v>
      </c>
      <c r="E210" s="176" t="s">
        <v>315</v>
      </c>
      <c r="F210" s="173"/>
      <c r="G210" s="173"/>
      <c r="H210" s="173"/>
      <c r="I210" s="173"/>
      <c r="J210" s="116">
        <f t="shared" si="15"/>
        <v>0</v>
      </c>
      <c r="K210" s="173"/>
      <c r="L210" s="173"/>
      <c r="M210" s="173"/>
      <c r="N210" s="173"/>
      <c r="O210" s="173"/>
      <c r="P210" s="116">
        <f t="shared" si="16"/>
        <v>0</v>
      </c>
      <c r="Q210" s="173"/>
      <c r="R210" s="173"/>
      <c r="S210" s="173"/>
      <c r="T210" s="173">
        <v>40.3142</v>
      </c>
      <c r="U210" s="173"/>
      <c r="V210" s="173"/>
      <c r="W210" s="117"/>
      <c r="X210" s="117">
        <f t="shared" si="2"/>
        <v>40.3142</v>
      </c>
      <c r="Y210" s="173" t="s">
        <v>1162</v>
      </c>
    </row>
    <row r="211" spans="1:25" ht="63">
      <c r="A211" s="469"/>
      <c r="B211" s="174" t="s">
        <v>316</v>
      </c>
      <c r="C211" s="174" t="s">
        <v>317</v>
      </c>
      <c r="D211" s="175">
        <v>202</v>
      </c>
      <c r="E211" s="176" t="s">
        <v>318</v>
      </c>
      <c r="F211" s="173"/>
      <c r="G211" s="173"/>
      <c r="H211" s="173"/>
      <c r="I211" s="173"/>
      <c r="J211" s="116">
        <f t="shared" si="15"/>
        <v>0</v>
      </c>
      <c r="K211" s="173"/>
      <c r="L211" s="173"/>
      <c r="M211" s="173"/>
      <c r="N211" s="173"/>
      <c r="O211" s="173"/>
      <c r="P211" s="116">
        <f t="shared" si="16"/>
        <v>0</v>
      </c>
      <c r="Q211" s="173"/>
      <c r="R211" s="173"/>
      <c r="S211" s="173"/>
      <c r="T211" s="173">
        <f>1022.22614</f>
        <v>1022.22614</v>
      </c>
      <c r="U211" s="173"/>
      <c r="V211" s="173"/>
      <c r="W211" s="117"/>
      <c r="X211" s="117">
        <f t="shared" si="2"/>
        <v>1022.22614</v>
      </c>
      <c r="Y211" s="173" t="s">
        <v>559</v>
      </c>
    </row>
    <row r="212" spans="1:25" ht="110.25">
      <c r="A212" s="469"/>
      <c r="B212" s="174" t="s">
        <v>319</v>
      </c>
      <c r="C212" s="174" t="s">
        <v>320</v>
      </c>
      <c r="D212" s="175">
        <v>203</v>
      </c>
      <c r="E212" s="176" t="s">
        <v>321</v>
      </c>
      <c r="F212" s="173"/>
      <c r="G212" s="173"/>
      <c r="H212" s="173"/>
      <c r="I212" s="173"/>
      <c r="J212" s="116">
        <f t="shared" si="15"/>
        <v>0</v>
      </c>
      <c r="K212" s="173"/>
      <c r="L212" s="173"/>
      <c r="M212" s="173"/>
      <c r="N212" s="173"/>
      <c r="O212" s="173"/>
      <c r="P212" s="116">
        <f t="shared" si="16"/>
        <v>0</v>
      </c>
      <c r="Q212" s="173"/>
      <c r="R212" s="173"/>
      <c r="S212" s="173"/>
      <c r="T212" s="173"/>
      <c r="U212" s="173"/>
      <c r="V212" s="173"/>
      <c r="W212" s="117"/>
      <c r="X212" s="117">
        <f t="shared" si="2"/>
        <v>0</v>
      </c>
      <c r="Y212" s="97"/>
    </row>
    <row r="213" spans="1:25" ht="63">
      <c r="A213" s="469"/>
      <c r="B213" s="174" t="s">
        <v>322</v>
      </c>
      <c r="C213" s="174" t="s">
        <v>323</v>
      </c>
      <c r="D213" s="175">
        <v>204</v>
      </c>
      <c r="E213" s="176" t="s">
        <v>324</v>
      </c>
      <c r="F213" s="173"/>
      <c r="G213" s="173"/>
      <c r="H213" s="173"/>
      <c r="I213" s="173"/>
      <c r="J213" s="116">
        <f t="shared" si="15"/>
        <v>0</v>
      </c>
      <c r="K213" s="173"/>
      <c r="L213" s="173"/>
      <c r="M213" s="173"/>
      <c r="N213" s="173"/>
      <c r="O213" s="173"/>
      <c r="P213" s="116">
        <f t="shared" si="16"/>
        <v>0</v>
      </c>
      <c r="Q213" s="173"/>
      <c r="R213" s="173"/>
      <c r="S213" s="173"/>
      <c r="T213" s="173">
        <v>20.927199999999999</v>
      </c>
      <c r="U213" s="173"/>
      <c r="V213" s="173"/>
      <c r="W213" s="117"/>
      <c r="X213" s="178">
        <f t="shared" si="2"/>
        <v>20.927199999999999</v>
      </c>
      <c r="Y213" s="173" t="s">
        <v>676</v>
      </c>
    </row>
    <row r="214" spans="1:25" ht="63">
      <c r="A214" s="469"/>
      <c r="B214" s="174" t="s">
        <v>326</v>
      </c>
      <c r="C214" s="174" t="s">
        <v>291</v>
      </c>
      <c r="D214" s="175">
        <v>205</v>
      </c>
      <c r="E214" s="176" t="s">
        <v>327</v>
      </c>
      <c r="F214" s="173"/>
      <c r="G214" s="173"/>
      <c r="H214" s="173"/>
      <c r="I214" s="173"/>
      <c r="J214" s="116">
        <f t="shared" si="15"/>
        <v>0</v>
      </c>
      <c r="K214" s="173"/>
      <c r="L214" s="173">
        <v>0</v>
      </c>
      <c r="M214" s="173"/>
      <c r="N214" s="173"/>
      <c r="O214" s="173"/>
      <c r="P214" s="116">
        <f t="shared" si="16"/>
        <v>0</v>
      </c>
      <c r="Q214" s="173"/>
      <c r="R214" s="173"/>
      <c r="S214" s="173"/>
      <c r="T214" s="173"/>
      <c r="U214" s="173"/>
      <c r="V214" s="173"/>
      <c r="W214" s="117"/>
      <c r="X214" s="117">
        <f t="shared" si="2"/>
        <v>0</v>
      </c>
      <c r="Y214" s="173"/>
    </row>
    <row r="215" spans="1:25" ht="47.25">
      <c r="A215" s="469"/>
      <c r="B215" s="174" t="s">
        <v>329</v>
      </c>
      <c r="C215" s="174" t="s">
        <v>246</v>
      </c>
      <c r="D215" s="175">
        <v>206</v>
      </c>
      <c r="E215" s="176" t="s">
        <v>330</v>
      </c>
      <c r="F215" s="173"/>
      <c r="G215" s="173"/>
      <c r="H215" s="173"/>
      <c r="I215" s="173"/>
      <c r="J215" s="116">
        <f t="shared" si="15"/>
        <v>0</v>
      </c>
      <c r="K215" s="173"/>
      <c r="L215" s="173"/>
      <c r="M215" s="173"/>
      <c r="N215" s="173"/>
      <c r="O215" s="173"/>
      <c r="P215" s="116">
        <f t="shared" si="16"/>
        <v>0</v>
      </c>
      <c r="Q215" s="173"/>
      <c r="R215" s="173"/>
      <c r="S215" s="173"/>
      <c r="T215" s="173"/>
      <c r="U215" s="173"/>
      <c r="V215" s="173"/>
      <c r="W215" s="117"/>
      <c r="X215" s="117">
        <f t="shared" si="2"/>
        <v>0</v>
      </c>
      <c r="Y215" s="173"/>
    </row>
    <row r="216" spans="1:25" s="110" customFormat="1" ht="28.5" customHeight="1">
      <c r="A216" s="469"/>
      <c r="B216" s="478" t="s">
        <v>331</v>
      </c>
      <c r="C216" s="479"/>
      <c r="D216" s="479"/>
      <c r="E216" s="99"/>
      <c r="F216" s="100">
        <f t="shared" ref="F216:W216" si="17">SUM(F159:F215)</f>
        <v>8.1000000000000003E-2</v>
      </c>
      <c r="G216" s="101">
        <f t="shared" si="17"/>
        <v>0</v>
      </c>
      <c r="H216" s="101">
        <f t="shared" si="17"/>
        <v>95</v>
      </c>
      <c r="I216" s="101">
        <f t="shared" si="17"/>
        <v>0</v>
      </c>
      <c r="J216" s="101">
        <f t="shared" si="17"/>
        <v>95</v>
      </c>
      <c r="K216" s="100">
        <f t="shared" si="17"/>
        <v>0</v>
      </c>
      <c r="L216" s="100">
        <f t="shared" si="17"/>
        <v>0</v>
      </c>
      <c r="M216" s="100">
        <f t="shared" si="17"/>
        <v>0</v>
      </c>
      <c r="N216" s="100">
        <f t="shared" si="17"/>
        <v>0</v>
      </c>
      <c r="O216" s="100">
        <f t="shared" si="17"/>
        <v>0</v>
      </c>
      <c r="P216" s="100">
        <f t="shared" si="17"/>
        <v>0</v>
      </c>
      <c r="Q216" s="100">
        <f t="shared" si="17"/>
        <v>0</v>
      </c>
      <c r="R216" s="100">
        <f t="shared" si="17"/>
        <v>11</v>
      </c>
      <c r="S216" s="101">
        <f t="shared" si="17"/>
        <v>0</v>
      </c>
      <c r="T216" s="101">
        <f t="shared" si="17"/>
        <v>5378.2758279999989</v>
      </c>
      <c r="U216" s="100">
        <f t="shared" si="17"/>
        <v>0</v>
      </c>
      <c r="V216" s="100">
        <f t="shared" si="17"/>
        <v>0</v>
      </c>
      <c r="W216" s="102">
        <f t="shared" si="17"/>
        <v>0</v>
      </c>
      <c r="X216" s="100">
        <f t="shared" si="2"/>
        <v>5484.356827999999</v>
      </c>
      <c r="Y216" s="100"/>
    </row>
    <row r="217" spans="1:25" s="110" customFormat="1" ht="36" customHeight="1">
      <c r="A217" s="480" t="s">
        <v>332</v>
      </c>
      <c r="B217" s="479"/>
      <c r="C217" s="479"/>
      <c r="D217" s="479"/>
      <c r="E217" s="259"/>
      <c r="F217" s="104">
        <f t="shared" ref="F217:W217" si="18">F216+F158+F134+F93+F68</f>
        <v>132.00523999999999</v>
      </c>
      <c r="G217" s="105">
        <f t="shared" si="18"/>
        <v>0</v>
      </c>
      <c r="H217" s="105">
        <f t="shared" si="18"/>
        <v>95</v>
      </c>
      <c r="I217" s="105">
        <f t="shared" si="18"/>
        <v>8.65</v>
      </c>
      <c r="J217" s="105">
        <f t="shared" si="18"/>
        <v>103.65</v>
      </c>
      <c r="K217" s="104">
        <f t="shared" si="18"/>
        <v>0</v>
      </c>
      <c r="L217" s="104">
        <f t="shared" si="18"/>
        <v>27.934999999999995</v>
      </c>
      <c r="M217" s="104">
        <f t="shared" si="18"/>
        <v>0</v>
      </c>
      <c r="N217" s="104">
        <f t="shared" si="18"/>
        <v>0</v>
      </c>
      <c r="O217" s="104">
        <f t="shared" si="18"/>
        <v>101.48820000000001</v>
      </c>
      <c r="P217" s="104">
        <f t="shared" si="18"/>
        <v>101.48820000000001</v>
      </c>
      <c r="Q217" s="104">
        <f t="shared" si="18"/>
        <v>0</v>
      </c>
      <c r="R217" s="104">
        <f t="shared" si="18"/>
        <v>90.366699999999994</v>
      </c>
      <c r="S217" s="105">
        <f t="shared" si="18"/>
        <v>0</v>
      </c>
      <c r="T217" s="105">
        <f t="shared" si="18"/>
        <v>6647.3706779999993</v>
      </c>
      <c r="U217" s="104">
        <f t="shared" si="18"/>
        <v>0</v>
      </c>
      <c r="V217" s="104">
        <f t="shared" si="18"/>
        <v>6.5</v>
      </c>
      <c r="W217" s="104">
        <f t="shared" si="18"/>
        <v>0</v>
      </c>
      <c r="X217" s="104">
        <f t="shared" si="2"/>
        <v>7109.3158179999991</v>
      </c>
      <c r="Y217" s="104"/>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9"/>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9"/>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91"/>
      <c r="Y220" s="39"/>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91"/>
      <c r="Y221" s="39"/>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91"/>
      <c r="Y223" s="39"/>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outlinePr summaryBelow="0" summaryRight="0"/>
  </sheetPr>
  <dimension ref="A1:Y1000"/>
  <sheetViews>
    <sheetView workbookViewId="0">
      <pane xSplit="4" ySplit="5" topLeftCell="E203" activePane="bottomRight" state="frozen"/>
      <selection pane="topRight" activeCell="E1" sqref="E1"/>
      <selection pane="bottomLeft" activeCell="A6" sqref="A6"/>
      <selection pane="bottomRight" activeCell="Y203" sqref="Y203"/>
    </sheetView>
  </sheetViews>
  <sheetFormatPr defaultColWidth="14.42578125" defaultRowHeight="15" customHeight="1"/>
  <cols>
    <col min="1" max="1" width="5.140625" style="111" customWidth="1"/>
    <col min="2" max="2" width="7" style="111" customWidth="1"/>
    <col min="3" max="3" width="11.5703125" style="111" customWidth="1"/>
    <col min="4" max="4" width="7.140625" style="111" customWidth="1"/>
    <col min="5" max="5" width="17.5703125" style="111" customWidth="1"/>
    <col min="6" max="6" width="7.28515625" style="111" customWidth="1"/>
    <col min="7" max="7" width="5.85546875" style="111" hidden="1" customWidth="1"/>
    <col min="8" max="8" width="8.5703125" style="111" customWidth="1"/>
    <col min="9" max="9" width="6.28515625" style="111" customWidth="1"/>
    <col min="10" max="10" width="9.28515625" style="111" customWidth="1"/>
    <col min="11" max="11" width="7.7109375" style="111" hidden="1" customWidth="1"/>
    <col min="12" max="12" width="7.7109375" style="111" customWidth="1"/>
    <col min="13" max="13" width="7.28515625" style="111" hidden="1" customWidth="1"/>
    <col min="14" max="14" width="9.42578125" style="111" customWidth="1"/>
    <col min="15" max="16" width="7.7109375" style="111" customWidth="1"/>
    <col min="17" max="17" width="11.42578125" style="111" hidden="1" customWidth="1"/>
    <col min="18" max="18" width="10.7109375" style="111" customWidth="1"/>
    <col min="19" max="19" width="14.85546875" style="111" hidden="1" customWidth="1"/>
    <col min="20" max="20" width="11.5703125" style="111" customWidth="1"/>
    <col min="21" max="21" width="12.140625" style="111" hidden="1" customWidth="1"/>
    <col min="22" max="22" width="7.7109375" style="111" customWidth="1"/>
    <col min="23" max="23" width="7.7109375" style="111" hidden="1" customWidth="1"/>
    <col min="24" max="24" width="9.7109375" style="111" customWidth="1"/>
    <col min="25" max="25" width="66.7109375" style="157"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row>
    <row r="2" spans="1:25" ht="28.5" customHeight="1">
      <c r="A2" s="38"/>
      <c r="B2" s="38"/>
      <c r="C2" s="38"/>
      <c r="D2" s="38"/>
      <c r="E2" s="38"/>
      <c r="F2" s="38"/>
      <c r="G2" s="38"/>
      <c r="H2" s="38"/>
      <c r="I2" s="38"/>
      <c r="J2" s="38"/>
      <c r="K2" s="38"/>
      <c r="L2" s="38"/>
      <c r="M2" s="38"/>
      <c r="N2" s="38"/>
      <c r="O2" s="38"/>
      <c r="P2" s="38"/>
      <c r="Q2" s="38"/>
      <c r="R2" s="38"/>
      <c r="S2" s="38"/>
      <c r="T2" s="38"/>
      <c r="U2" s="38"/>
      <c r="V2" s="38"/>
      <c r="W2" s="38"/>
      <c r="X2" s="38"/>
      <c r="Y2" s="39"/>
    </row>
    <row r="3" spans="1:25" ht="28.5" customHeight="1">
      <c r="A3" s="38"/>
      <c r="B3" s="112"/>
      <c r="C3" s="112"/>
      <c r="D3" s="112"/>
      <c r="E3" s="112" t="s">
        <v>338</v>
      </c>
      <c r="F3" s="112"/>
      <c r="G3" s="112"/>
      <c r="H3" s="112"/>
      <c r="I3" s="112"/>
      <c r="J3" s="112"/>
      <c r="K3" s="112"/>
      <c r="L3" s="112"/>
      <c r="M3" s="112"/>
      <c r="N3" s="112"/>
      <c r="O3" s="112"/>
      <c r="P3" s="112"/>
      <c r="Q3" s="112"/>
      <c r="R3" s="112"/>
      <c r="S3" s="112"/>
      <c r="T3" s="112"/>
      <c r="U3" s="112"/>
      <c r="V3" s="112"/>
      <c r="W3" s="113"/>
      <c r="X3" s="470" t="s">
        <v>2</v>
      </c>
      <c r="Y3" s="471"/>
    </row>
    <row r="4" spans="1:25" ht="31.5"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68.2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63">
      <c r="A6" s="477" t="s">
        <v>24</v>
      </c>
      <c r="B6" s="476" t="s">
        <v>25</v>
      </c>
      <c r="C6" s="476" t="s">
        <v>26</v>
      </c>
      <c r="D6" s="106">
        <v>1</v>
      </c>
      <c r="E6" s="223"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7"/>
    </row>
    <row r="7" spans="1:25" ht="63">
      <c r="A7" s="469"/>
      <c r="B7" s="469"/>
      <c r="C7" s="469"/>
      <c r="D7" s="106">
        <v>2</v>
      </c>
      <c r="E7" s="115" t="s">
        <v>28</v>
      </c>
      <c r="F7" s="116"/>
      <c r="G7" s="116"/>
      <c r="H7" s="116"/>
      <c r="I7" s="116"/>
      <c r="J7" s="116">
        <f t="shared" si="0"/>
        <v>0</v>
      </c>
      <c r="K7" s="116"/>
      <c r="L7" s="116"/>
      <c r="M7" s="116"/>
      <c r="N7" s="116"/>
      <c r="O7" s="119"/>
      <c r="P7" s="117">
        <f t="shared" si="1"/>
        <v>0</v>
      </c>
      <c r="Q7" s="127"/>
      <c r="R7" s="120"/>
      <c r="S7" s="121"/>
      <c r="T7" s="121"/>
      <c r="U7" s="116"/>
      <c r="V7" s="116"/>
      <c r="W7" s="117"/>
      <c r="X7" s="117">
        <f t="shared" si="2"/>
        <v>0</v>
      </c>
      <c r="Y7" s="97"/>
    </row>
    <row r="8" spans="1:25" ht="126">
      <c r="A8" s="469"/>
      <c r="B8" s="469"/>
      <c r="C8" s="469"/>
      <c r="D8" s="106">
        <v>3</v>
      </c>
      <c r="E8" s="106" t="s">
        <v>29</v>
      </c>
      <c r="F8" s="121">
        <v>14.565189999999999</v>
      </c>
      <c r="G8" s="120"/>
      <c r="H8" s="120"/>
      <c r="I8" s="120"/>
      <c r="J8" s="116">
        <f t="shared" si="0"/>
        <v>0</v>
      </c>
      <c r="K8" s="120"/>
      <c r="L8" s="120"/>
      <c r="M8" s="120"/>
      <c r="N8" s="120"/>
      <c r="O8" s="120"/>
      <c r="P8" s="116">
        <f t="shared" si="1"/>
        <v>0</v>
      </c>
      <c r="Q8" s="120"/>
      <c r="R8" s="120"/>
      <c r="S8" s="120"/>
      <c r="T8" s="120"/>
      <c r="U8" s="116"/>
      <c r="V8" s="116"/>
      <c r="W8" s="117"/>
      <c r="X8" s="117">
        <f t="shared" si="2"/>
        <v>14.565189999999999</v>
      </c>
      <c r="Y8" s="97" t="s">
        <v>831</v>
      </c>
    </row>
    <row r="9" spans="1:25" ht="283.5">
      <c r="A9" s="469"/>
      <c r="B9" s="469"/>
      <c r="C9" s="469"/>
      <c r="D9" s="106">
        <v>4</v>
      </c>
      <c r="E9" s="106" t="s">
        <v>30</v>
      </c>
      <c r="F9" s="260"/>
      <c r="G9" s="116"/>
      <c r="H9" s="116"/>
      <c r="I9" s="116"/>
      <c r="J9" s="116">
        <f t="shared" si="0"/>
        <v>0</v>
      </c>
      <c r="K9" s="116"/>
      <c r="L9" s="116"/>
      <c r="M9" s="116"/>
      <c r="N9" s="116"/>
      <c r="O9" s="116">
        <v>20.8645</v>
      </c>
      <c r="P9" s="116">
        <f t="shared" si="1"/>
        <v>20.8645</v>
      </c>
      <c r="Q9" s="122"/>
      <c r="R9" s="261">
        <v>26.158999999999999</v>
      </c>
      <c r="S9" s="121"/>
      <c r="T9" s="121">
        <v>27.426600000000001</v>
      </c>
      <c r="U9" s="120"/>
      <c r="V9" s="120"/>
      <c r="W9" s="117"/>
      <c r="X9" s="117">
        <f t="shared" si="2"/>
        <v>74.450099999999992</v>
      </c>
      <c r="Y9" s="97" t="s">
        <v>832</v>
      </c>
    </row>
    <row r="10" spans="1:25" ht="78.75">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15.029</v>
      </c>
      <c r="U10" s="120"/>
      <c r="V10" s="120"/>
      <c r="W10" s="117"/>
      <c r="X10" s="117">
        <f t="shared" si="2"/>
        <v>15.029</v>
      </c>
      <c r="Y10" s="97" t="s">
        <v>833</v>
      </c>
    </row>
    <row r="11" spans="1:25" ht="78.75">
      <c r="A11" s="469"/>
      <c r="B11" s="469"/>
      <c r="C11" s="469"/>
      <c r="D11" s="106">
        <v>6</v>
      </c>
      <c r="E11" s="106" t="s">
        <v>32</v>
      </c>
      <c r="F11" s="120">
        <v>0.39</v>
      </c>
      <c r="G11" s="120"/>
      <c r="H11" s="120"/>
      <c r="I11" s="120"/>
      <c r="J11" s="116">
        <f t="shared" si="0"/>
        <v>0</v>
      </c>
      <c r="K11" s="120"/>
      <c r="L11" s="120"/>
      <c r="M11" s="120"/>
      <c r="N11" s="120"/>
      <c r="O11" s="120"/>
      <c r="P11" s="116">
        <f t="shared" si="1"/>
        <v>0</v>
      </c>
      <c r="Q11" s="120"/>
      <c r="R11" s="120"/>
      <c r="S11" s="121"/>
      <c r="T11" s="121">
        <v>0.44</v>
      </c>
      <c r="U11" s="120"/>
      <c r="V11" s="120"/>
      <c r="W11" s="117"/>
      <c r="X11" s="117">
        <f t="shared" si="2"/>
        <v>0.83000000000000007</v>
      </c>
      <c r="Y11" s="97" t="s">
        <v>834</v>
      </c>
    </row>
    <row r="12" spans="1:25" ht="63">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7"/>
    </row>
    <row r="13" spans="1:25" ht="15.75">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7"/>
    </row>
    <row r="14" spans="1:25" ht="63">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2">
        <v>0.02</v>
      </c>
      <c r="U14" s="121"/>
      <c r="V14" s="121"/>
      <c r="W14" s="117"/>
      <c r="X14" s="117">
        <f t="shared" si="2"/>
        <v>0.02</v>
      </c>
      <c r="Y14" s="97" t="s">
        <v>820</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7"/>
    </row>
    <row r="16" spans="1:25" ht="15.75">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7"/>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7"/>
    </row>
    <row r="18" spans="1:25" ht="31.5">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7"/>
    </row>
    <row r="19" spans="1:25" ht="31.5">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7"/>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7"/>
    </row>
    <row r="21" spans="1:25" ht="63">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7"/>
    </row>
    <row r="22" spans="1:25" ht="47.2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244"/>
      <c r="U22" s="121"/>
      <c r="V22" s="121"/>
      <c r="W22" s="117"/>
      <c r="X22" s="117">
        <f t="shared" si="2"/>
        <v>0</v>
      </c>
      <c r="Y22" s="97" t="s">
        <v>339</v>
      </c>
    </row>
    <row r="23" spans="1:25" ht="47.25">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7"/>
    </row>
    <row r="24" spans="1:25" ht="15.75">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7"/>
    </row>
    <row r="25" spans="1:25" ht="110.25">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7"/>
    </row>
    <row r="26" spans="1:25" ht="90" customHeight="1">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14.795999999999999</v>
      </c>
      <c r="U26" s="131"/>
      <c r="V26" s="120"/>
      <c r="W26" s="117"/>
      <c r="X26" s="117">
        <f t="shared" si="2"/>
        <v>14.795999999999999</v>
      </c>
      <c r="Y26" s="97" t="s">
        <v>340</v>
      </c>
    </row>
    <row r="27" spans="1:25" ht="147" customHeight="1">
      <c r="A27" s="469"/>
      <c r="B27" s="469"/>
      <c r="C27" s="469"/>
      <c r="D27" s="106">
        <v>22</v>
      </c>
      <c r="E27" s="106" t="s">
        <v>52</v>
      </c>
      <c r="F27" s="121"/>
      <c r="G27" s="120"/>
      <c r="H27" s="120"/>
      <c r="I27" s="121"/>
      <c r="J27" s="125">
        <f t="shared" si="0"/>
        <v>0</v>
      </c>
      <c r="K27" s="129"/>
      <c r="L27" s="129">
        <v>5.1579699999999997</v>
      </c>
      <c r="M27" s="115"/>
      <c r="N27" s="115"/>
      <c r="O27" s="120"/>
      <c r="P27" s="116">
        <f t="shared" si="1"/>
        <v>0</v>
      </c>
      <c r="Q27" s="121"/>
      <c r="R27" s="121">
        <v>1</v>
      </c>
      <c r="S27" s="125"/>
      <c r="T27" s="121">
        <v>78.432599999999994</v>
      </c>
      <c r="U27" s="128"/>
      <c r="V27" s="120"/>
      <c r="W27" s="117"/>
      <c r="X27" s="117">
        <f t="shared" si="2"/>
        <v>84.59057</v>
      </c>
      <c r="Y27" s="135" t="s">
        <v>726</v>
      </c>
    </row>
    <row r="28" spans="1:25" ht="47.25">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97"/>
    </row>
    <row r="29" spans="1:25" ht="102.75" customHeight="1">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2.15</v>
      </c>
      <c r="U29" s="128"/>
      <c r="V29" s="120"/>
      <c r="W29" s="117"/>
      <c r="X29" s="117">
        <f t="shared" si="2"/>
        <v>2.15</v>
      </c>
      <c r="Y29" s="135" t="s">
        <v>727</v>
      </c>
    </row>
    <row r="30" spans="1:25" ht="330.7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0.58699999999999997</v>
      </c>
      <c r="U30" s="115"/>
      <c r="V30" s="120"/>
      <c r="W30" s="117"/>
      <c r="X30" s="117">
        <f t="shared" si="2"/>
        <v>0.58699999999999997</v>
      </c>
      <c r="Y30" s="97" t="s">
        <v>728</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97"/>
    </row>
    <row r="32" spans="1:25" ht="31.5">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2</v>
      </c>
      <c r="U32" s="131"/>
      <c r="V32" s="120"/>
      <c r="W32" s="117"/>
      <c r="X32" s="117">
        <f t="shared" si="2"/>
        <v>2</v>
      </c>
      <c r="Y32" s="97" t="s">
        <v>795</v>
      </c>
    </row>
    <row r="33" spans="1:25" ht="94.5">
      <c r="A33" s="469"/>
      <c r="B33" s="469"/>
      <c r="C33" s="469"/>
      <c r="D33" s="106">
        <v>28</v>
      </c>
      <c r="E33" s="106" t="s">
        <v>30</v>
      </c>
      <c r="F33" s="120"/>
      <c r="G33" s="120"/>
      <c r="H33" s="120"/>
      <c r="I33" s="120"/>
      <c r="J33" s="116">
        <f t="shared" si="0"/>
        <v>0</v>
      </c>
      <c r="K33" s="120"/>
      <c r="L33" s="120"/>
      <c r="M33" s="120"/>
      <c r="N33" s="120"/>
      <c r="O33" s="262">
        <v>2.9376000000000002</v>
      </c>
      <c r="P33" s="178">
        <f t="shared" si="1"/>
        <v>2.9376000000000002</v>
      </c>
      <c r="Q33" s="97"/>
      <c r="R33" s="122">
        <v>2.9376000000000002</v>
      </c>
      <c r="S33" s="97"/>
      <c r="T33" s="120"/>
      <c r="U33" s="120"/>
      <c r="V33" s="120"/>
      <c r="W33" s="117"/>
      <c r="X33" s="117">
        <f t="shared" si="2"/>
        <v>5.8752000000000004</v>
      </c>
      <c r="Y33" s="97" t="s">
        <v>729</v>
      </c>
    </row>
    <row r="34" spans="1:25" ht="78.75">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10.281599999999999</v>
      </c>
      <c r="U34" s="97"/>
      <c r="V34" s="120"/>
      <c r="W34" s="117"/>
      <c r="X34" s="117">
        <f t="shared" si="2"/>
        <v>10.281599999999999</v>
      </c>
      <c r="Y34" s="135" t="s">
        <v>730</v>
      </c>
    </row>
    <row r="35" spans="1:25" ht="47.2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97"/>
    </row>
    <row r="36" spans="1:25" ht="47.2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7"/>
    </row>
    <row r="37" spans="1:25" ht="236.2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9.1953999999999994</v>
      </c>
      <c r="U37" s="122"/>
      <c r="V37" s="122"/>
      <c r="W37" s="117"/>
      <c r="X37" s="117">
        <f t="shared" si="2"/>
        <v>9.1953999999999994</v>
      </c>
      <c r="Y37" s="97" t="s">
        <v>1164</v>
      </c>
    </row>
    <row r="38" spans="1:25" ht="31.5">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97"/>
    </row>
    <row r="39" spans="1:25" ht="47.25">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7"/>
    </row>
    <row r="40" spans="1:25" ht="126">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f>1.2+1.92+0.21</f>
        <v>3.33</v>
      </c>
      <c r="U40" s="116"/>
      <c r="V40" s="116"/>
      <c r="W40" s="117"/>
      <c r="X40" s="117">
        <f t="shared" si="2"/>
        <v>3.33</v>
      </c>
      <c r="Y40" s="97" t="s">
        <v>341</v>
      </c>
    </row>
    <row r="41" spans="1:25" ht="63">
      <c r="A41" s="469"/>
      <c r="B41" s="469"/>
      <c r="C41" s="469"/>
      <c r="D41" s="106">
        <v>36</v>
      </c>
      <c r="E41" s="223" t="s">
        <v>70</v>
      </c>
      <c r="F41" s="116"/>
      <c r="G41" s="116"/>
      <c r="H41" s="116"/>
      <c r="I41" s="116"/>
      <c r="J41" s="116">
        <f t="shared" si="0"/>
        <v>0</v>
      </c>
      <c r="K41" s="116"/>
      <c r="L41" s="116"/>
      <c r="M41" s="116"/>
      <c r="N41" s="116"/>
      <c r="O41" s="117"/>
      <c r="P41" s="117">
        <f t="shared" si="1"/>
        <v>0</v>
      </c>
      <c r="Q41" s="116"/>
      <c r="R41" s="116"/>
      <c r="S41" s="116"/>
      <c r="T41" s="116"/>
      <c r="U41" s="116"/>
      <c r="V41" s="116"/>
      <c r="W41" s="117"/>
      <c r="X41" s="117">
        <f t="shared" si="2"/>
        <v>0</v>
      </c>
      <c r="Y41" s="97"/>
    </row>
    <row r="42" spans="1:25" ht="47.25">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7"/>
    </row>
    <row r="43" spans="1:25" ht="78.75">
      <c r="A43" s="469"/>
      <c r="B43" s="469"/>
      <c r="C43" s="469"/>
      <c r="D43" s="106">
        <v>38</v>
      </c>
      <c r="E43" s="223" t="s">
        <v>72</v>
      </c>
      <c r="F43" s="116"/>
      <c r="G43" s="116"/>
      <c r="H43" s="116"/>
      <c r="I43" s="116"/>
      <c r="J43" s="116">
        <f t="shared" si="0"/>
        <v>0</v>
      </c>
      <c r="K43" s="116"/>
      <c r="L43" s="116"/>
      <c r="M43" s="116"/>
      <c r="N43" s="116"/>
      <c r="O43" s="116"/>
      <c r="P43" s="116">
        <f t="shared" si="1"/>
        <v>0</v>
      </c>
      <c r="Q43" s="116"/>
      <c r="R43" s="116"/>
      <c r="S43" s="125"/>
      <c r="T43" s="125">
        <f>2.4+1</f>
        <v>3.4</v>
      </c>
      <c r="U43" s="116"/>
      <c r="V43" s="116"/>
      <c r="W43" s="117"/>
      <c r="X43" s="117">
        <f t="shared" si="2"/>
        <v>3.4</v>
      </c>
      <c r="Y43" s="97" t="s">
        <v>342</v>
      </c>
    </row>
    <row r="44" spans="1:25" ht="78.75">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16"/>
      <c r="V44" s="116"/>
      <c r="W44" s="117"/>
      <c r="X44" s="117">
        <f t="shared" si="2"/>
        <v>0</v>
      </c>
      <c r="Y44" s="97"/>
    </row>
    <row r="45" spans="1:25" ht="63">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(500*10*15)/100000</f>
        <v>0.75</v>
      </c>
      <c r="U45" s="116"/>
      <c r="V45" s="116"/>
      <c r="W45" s="117"/>
      <c r="X45" s="117">
        <f t="shared" si="2"/>
        <v>0.75</v>
      </c>
      <c r="Y45" s="97" t="s">
        <v>570</v>
      </c>
    </row>
    <row r="46" spans="1:25" ht="47.25">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7"/>
    </row>
    <row r="47" spans="1:25" ht="47.25">
      <c r="A47" s="469"/>
      <c r="B47" s="476" t="s">
        <v>76</v>
      </c>
      <c r="C47" s="476" t="s">
        <v>77</v>
      </c>
      <c r="D47" s="106">
        <v>42</v>
      </c>
      <c r="E47" s="106" t="s">
        <v>78</v>
      </c>
      <c r="F47" s="121">
        <v>2.2909999999999999</v>
      </c>
      <c r="G47" s="120"/>
      <c r="H47" s="120"/>
      <c r="I47" s="120"/>
      <c r="J47" s="116">
        <f t="shared" si="0"/>
        <v>0</v>
      </c>
      <c r="K47" s="122"/>
      <c r="L47" s="122"/>
      <c r="M47" s="120"/>
      <c r="N47" s="120"/>
      <c r="O47" s="120"/>
      <c r="P47" s="116">
        <f t="shared" si="1"/>
        <v>0</v>
      </c>
      <c r="Q47" s="120"/>
      <c r="R47" s="120"/>
      <c r="S47" s="121"/>
      <c r="T47" s="121"/>
      <c r="U47" s="120"/>
      <c r="V47" s="120"/>
      <c r="W47" s="117"/>
      <c r="X47" s="117">
        <f t="shared" si="2"/>
        <v>2.2909999999999999</v>
      </c>
      <c r="Y47" s="97" t="s">
        <v>933</v>
      </c>
    </row>
    <row r="48" spans="1:25" ht="31.5">
      <c r="A48" s="469"/>
      <c r="B48" s="469"/>
      <c r="C48" s="469"/>
      <c r="D48" s="106">
        <v>43</v>
      </c>
      <c r="E48" s="106" t="s">
        <v>79</v>
      </c>
      <c r="F48" s="121">
        <v>0.09</v>
      </c>
      <c r="G48" s="120"/>
      <c r="H48" s="120"/>
      <c r="I48" s="120"/>
      <c r="J48" s="116">
        <f t="shared" si="0"/>
        <v>0</v>
      </c>
      <c r="K48" s="122"/>
      <c r="L48" s="122"/>
      <c r="M48" s="120"/>
      <c r="N48" s="120"/>
      <c r="O48" s="120"/>
      <c r="P48" s="116">
        <f t="shared" si="1"/>
        <v>0</v>
      </c>
      <c r="Q48" s="120"/>
      <c r="R48" s="120"/>
      <c r="S48" s="121"/>
      <c r="T48" s="121"/>
      <c r="U48" s="120"/>
      <c r="V48" s="120"/>
      <c r="W48" s="117"/>
      <c r="X48" s="117">
        <f t="shared" si="2"/>
        <v>0.09</v>
      </c>
      <c r="Y48" s="97" t="s">
        <v>934</v>
      </c>
    </row>
    <row r="49" spans="1:25" ht="63.75" customHeight="1">
      <c r="A49" s="469"/>
      <c r="B49" s="469"/>
      <c r="C49" s="469"/>
      <c r="D49" s="106">
        <v>44</v>
      </c>
      <c r="E49" s="106" t="s">
        <v>80</v>
      </c>
      <c r="F49" s="121">
        <v>0.48299999999999998</v>
      </c>
      <c r="G49" s="120"/>
      <c r="H49" s="120"/>
      <c r="I49" s="120"/>
      <c r="J49" s="116">
        <f t="shared" si="0"/>
        <v>0</v>
      </c>
      <c r="K49" s="122"/>
      <c r="L49" s="122"/>
      <c r="M49" s="120"/>
      <c r="N49" s="120"/>
      <c r="O49" s="120"/>
      <c r="P49" s="116">
        <f t="shared" si="1"/>
        <v>0</v>
      </c>
      <c r="Q49" s="120"/>
      <c r="R49" s="120"/>
      <c r="S49" s="121"/>
      <c r="T49" s="121"/>
      <c r="U49" s="120"/>
      <c r="V49" s="120"/>
      <c r="W49" s="117"/>
      <c r="X49" s="117">
        <f t="shared" si="2"/>
        <v>0.48299999999999998</v>
      </c>
      <c r="Y49" s="97" t="s">
        <v>886</v>
      </c>
    </row>
    <row r="50" spans="1:25" ht="69" customHeight="1">
      <c r="A50" s="469"/>
      <c r="B50" s="469"/>
      <c r="C50" s="469"/>
      <c r="D50" s="106">
        <v>45</v>
      </c>
      <c r="E50" s="106" t="s">
        <v>81</v>
      </c>
      <c r="F50" s="121">
        <v>4.3999999999999997E-2</v>
      </c>
      <c r="G50" s="120"/>
      <c r="H50" s="120"/>
      <c r="I50" s="120"/>
      <c r="J50" s="116">
        <f t="shared" si="0"/>
        <v>0</v>
      </c>
      <c r="K50" s="120"/>
      <c r="L50" s="120"/>
      <c r="M50" s="120"/>
      <c r="N50" s="120"/>
      <c r="O50" s="120"/>
      <c r="P50" s="116">
        <f t="shared" si="1"/>
        <v>0</v>
      </c>
      <c r="Q50" s="120"/>
      <c r="R50" s="120"/>
      <c r="S50" s="120"/>
      <c r="T50" s="120"/>
      <c r="U50" s="120"/>
      <c r="V50" s="120"/>
      <c r="W50" s="117"/>
      <c r="X50" s="117">
        <f t="shared" si="2"/>
        <v>4.3999999999999997E-2</v>
      </c>
      <c r="Y50" s="97" t="s">
        <v>887</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7"/>
    </row>
    <row r="52" spans="1:25" ht="47.25">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97"/>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97"/>
    </row>
    <row r="54" spans="1:25" ht="63">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97"/>
    </row>
    <row r="55" spans="1:25" ht="47.2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97"/>
    </row>
    <row r="56" spans="1:25" ht="47.2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7"/>
    </row>
    <row r="57" spans="1:25" ht="31.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97"/>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245"/>
    </row>
    <row r="59" spans="1:25" ht="137.25" customHeight="1">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1</v>
      </c>
      <c r="U59" s="115"/>
      <c r="V59" s="120"/>
      <c r="W59" s="117"/>
      <c r="X59" s="117">
        <f t="shared" si="2"/>
        <v>1</v>
      </c>
      <c r="Y59" s="97" t="s">
        <v>92</v>
      </c>
    </row>
    <row r="60" spans="1:25" ht="47.2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7"/>
    </row>
    <row r="61" spans="1:25" ht="47.25">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0"/>
      <c r="T61" s="120"/>
      <c r="U61" s="120"/>
      <c r="V61" s="120"/>
      <c r="W61" s="117"/>
      <c r="X61" s="117">
        <f t="shared" si="2"/>
        <v>0</v>
      </c>
      <c r="Y61" s="97"/>
    </row>
    <row r="62" spans="1:25" ht="47.25">
      <c r="A62" s="469"/>
      <c r="B62" s="469"/>
      <c r="C62" s="469"/>
      <c r="D62" s="106">
        <v>57</v>
      </c>
      <c r="E62" s="106" t="s">
        <v>95</v>
      </c>
      <c r="F62" s="120"/>
      <c r="G62" s="120"/>
      <c r="H62" s="120"/>
      <c r="I62" s="121"/>
      <c r="J62" s="125">
        <f t="shared" si="0"/>
        <v>0</v>
      </c>
      <c r="K62" s="120"/>
      <c r="L62" s="120"/>
      <c r="M62" s="120"/>
      <c r="N62" s="120"/>
      <c r="O62" s="120"/>
      <c r="P62" s="116">
        <f t="shared" si="1"/>
        <v>0</v>
      </c>
      <c r="Q62" s="121"/>
      <c r="R62" s="121"/>
      <c r="S62" s="120"/>
      <c r="T62" s="120"/>
      <c r="U62" s="120"/>
      <c r="V62" s="120"/>
      <c r="W62" s="117"/>
      <c r="X62" s="117">
        <f t="shared" si="2"/>
        <v>0</v>
      </c>
      <c r="Y62" s="97"/>
    </row>
    <row r="63" spans="1:25" ht="63">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245"/>
    </row>
    <row r="64" spans="1:25" ht="31.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7"/>
    </row>
    <row r="65" spans="1:25" ht="31.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7"/>
    </row>
    <row r="66" spans="1:25" ht="47.2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7"/>
    </row>
    <row r="67" spans="1:25" ht="110.25">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135"/>
    </row>
    <row r="68" spans="1:25" ht="27.75" customHeight="1">
      <c r="A68" s="469"/>
      <c r="B68" s="478" t="s">
        <v>103</v>
      </c>
      <c r="C68" s="469"/>
      <c r="D68" s="469"/>
      <c r="E68" s="99"/>
      <c r="F68" s="102">
        <f t="shared" ref="F68:W68" si="3">SUM(F6:F67)</f>
        <v>17.863189999999999</v>
      </c>
      <c r="G68" s="102">
        <f t="shared" si="3"/>
        <v>0</v>
      </c>
      <c r="H68" s="102">
        <f t="shared" si="3"/>
        <v>0</v>
      </c>
      <c r="I68" s="102">
        <f t="shared" si="3"/>
        <v>0</v>
      </c>
      <c r="J68" s="102">
        <f t="shared" si="3"/>
        <v>0</v>
      </c>
      <c r="K68" s="102">
        <f t="shared" si="3"/>
        <v>0</v>
      </c>
      <c r="L68" s="102">
        <f t="shared" si="3"/>
        <v>5.1579699999999997</v>
      </c>
      <c r="M68" s="102">
        <f t="shared" si="3"/>
        <v>0</v>
      </c>
      <c r="N68" s="102">
        <f t="shared" si="3"/>
        <v>0</v>
      </c>
      <c r="O68" s="102">
        <f t="shared" si="3"/>
        <v>23.802099999999999</v>
      </c>
      <c r="P68" s="102">
        <f t="shared" si="3"/>
        <v>23.802099999999999</v>
      </c>
      <c r="Q68" s="102">
        <f t="shared" si="3"/>
        <v>0</v>
      </c>
      <c r="R68" s="102">
        <f t="shared" si="3"/>
        <v>30.096599999999999</v>
      </c>
      <c r="S68" s="102">
        <f t="shared" si="3"/>
        <v>0</v>
      </c>
      <c r="T68" s="102">
        <f t="shared" si="3"/>
        <v>168.83820000000003</v>
      </c>
      <c r="U68" s="102">
        <f t="shared" si="3"/>
        <v>0</v>
      </c>
      <c r="V68" s="102">
        <f t="shared" si="3"/>
        <v>0</v>
      </c>
      <c r="W68" s="102">
        <f t="shared" si="3"/>
        <v>0</v>
      </c>
      <c r="X68" s="102">
        <f t="shared" si="2"/>
        <v>245.75806000000003</v>
      </c>
      <c r="Y68" s="135"/>
    </row>
    <row r="69" spans="1:25" ht="94.5">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0.5</v>
      </c>
      <c r="W69" s="117"/>
      <c r="X69" s="117">
        <f t="shared" si="2"/>
        <v>0.5</v>
      </c>
      <c r="Y69" s="135" t="s">
        <v>963</v>
      </c>
    </row>
    <row r="70" spans="1:25" ht="165" customHeight="1">
      <c r="A70" s="469"/>
      <c r="B70" s="476" t="s">
        <v>108</v>
      </c>
      <c r="C70" s="476" t="s">
        <v>109</v>
      </c>
      <c r="D70" s="106">
        <v>64</v>
      </c>
      <c r="E70" s="106" t="s">
        <v>110</v>
      </c>
      <c r="F70" s="120"/>
      <c r="G70" s="120"/>
      <c r="H70" s="120"/>
      <c r="I70" s="121"/>
      <c r="J70" s="125">
        <f t="shared" si="4"/>
        <v>0</v>
      </c>
      <c r="K70" s="122"/>
      <c r="L70" s="122">
        <v>0</v>
      </c>
      <c r="M70" s="120"/>
      <c r="N70" s="120"/>
      <c r="O70" s="122">
        <v>0.12</v>
      </c>
      <c r="P70" s="117">
        <f t="shared" si="5"/>
        <v>0.12</v>
      </c>
      <c r="Q70" s="166"/>
      <c r="R70" s="120">
        <v>0</v>
      </c>
      <c r="S70" s="122"/>
      <c r="T70" s="122">
        <v>0.5</v>
      </c>
      <c r="U70" s="137"/>
      <c r="V70" s="121">
        <v>0.2</v>
      </c>
      <c r="W70" s="117"/>
      <c r="X70" s="117">
        <f t="shared" si="2"/>
        <v>0.82000000000000006</v>
      </c>
      <c r="Y70" s="135" t="s">
        <v>1051</v>
      </c>
    </row>
    <row r="71" spans="1:25" ht="236.25">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135" t="s">
        <v>1059</v>
      </c>
    </row>
    <row r="72" spans="1:25" ht="78.75">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20"/>
      <c r="V72" s="120"/>
      <c r="W72" s="117"/>
      <c r="X72" s="117">
        <f t="shared" si="2"/>
        <v>0.09</v>
      </c>
      <c r="Y72" s="135" t="s">
        <v>1053</v>
      </c>
    </row>
    <row r="73" spans="1:25" ht="191.25" customHeight="1">
      <c r="A73" s="469"/>
      <c r="B73" s="469"/>
      <c r="C73" s="469"/>
      <c r="D73" s="106">
        <v>67</v>
      </c>
      <c r="E73" s="106" t="s">
        <v>113</v>
      </c>
      <c r="F73" s="120"/>
      <c r="G73" s="120"/>
      <c r="H73" s="120"/>
      <c r="I73" s="120"/>
      <c r="J73" s="116">
        <f t="shared" si="4"/>
        <v>0</v>
      </c>
      <c r="K73" s="120"/>
      <c r="L73" s="120"/>
      <c r="M73" s="120"/>
      <c r="N73" s="120"/>
      <c r="O73" s="122"/>
      <c r="P73" s="117">
        <f t="shared" si="5"/>
        <v>0</v>
      </c>
      <c r="Q73" s="120"/>
      <c r="R73" s="120"/>
      <c r="S73" s="121"/>
      <c r="T73" s="244">
        <v>19.260000000000002</v>
      </c>
      <c r="U73" s="121"/>
      <c r="V73" s="121">
        <v>1.5</v>
      </c>
      <c r="W73" s="117"/>
      <c r="X73" s="117">
        <f t="shared" si="2"/>
        <v>20.76</v>
      </c>
      <c r="Y73" s="135" t="s">
        <v>1057</v>
      </c>
    </row>
    <row r="74" spans="1:25" ht="31.5">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0.36</v>
      </c>
      <c r="U74" s="121"/>
      <c r="V74" s="121"/>
      <c r="W74" s="117"/>
      <c r="X74" s="117">
        <f t="shared" si="2"/>
        <v>0.36</v>
      </c>
      <c r="Y74" s="135" t="s">
        <v>1058</v>
      </c>
    </row>
    <row r="75" spans="1:25" ht="31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40"/>
      <c r="T75" s="140">
        <f>0.8+44.52+2.226+0.88+0.668+0.223+1.1+13</f>
        <v>63.417000000000002</v>
      </c>
      <c r="U75" s="138"/>
      <c r="V75" s="138"/>
      <c r="W75" s="117"/>
      <c r="X75" s="117">
        <f t="shared" si="2"/>
        <v>63.617000000000004</v>
      </c>
      <c r="Y75" s="224" t="s">
        <v>1041</v>
      </c>
    </row>
    <row r="76" spans="1:25" ht="126">
      <c r="A76" s="469"/>
      <c r="B76" s="469"/>
      <c r="C76" s="469"/>
      <c r="D76" s="106">
        <v>70</v>
      </c>
      <c r="E76" s="106" t="s">
        <v>118</v>
      </c>
      <c r="F76" s="140"/>
      <c r="G76" s="138"/>
      <c r="H76" s="138"/>
      <c r="I76" s="138"/>
      <c r="J76" s="116">
        <f t="shared" si="4"/>
        <v>0</v>
      </c>
      <c r="K76" s="142"/>
      <c r="L76" s="142">
        <v>0.104</v>
      </c>
      <c r="M76" s="223"/>
      <c r="N76" s="138"/>
      <c r="O76" s="138"/>
      <c r="P76" s="116">
        <f t="shared" si="5"/>
        <v>0</v>
      </c>
      <c r="Q76" s="138"/>
      <c r="R76" s="138"/>
      <c r="S76" s="140"/>
      <c r="T76" s="140">
        <v>1.1000000000000001</v>
      </c>
      <c r="U76" s="138"/>
      <c r="V76" s="138"/>
      <c r="W76" s="117"/>
      <c r="X76" s="117">
        <f t="shared" si="2"/>
        <v>1.2040000000000002</v>
      </c>
      <c r="Y76" s="224" t="s">
        <v>914</v>
      </c>
    </row>
    <row r="77" spans="1:25" ht="15.75">
      <c r="A77" s="469"/>
      <c r="B77" s="469"/>
      <c r="C77" s="469"/>
      <c r="D77" s="106">
        <v>71</v>
      </c>
      <c r="E77" s="106" t="s">
        <v>119</v>
      </c>
      <c r="F77" s="138"/>
      <c r="G77" s="138"/>
      <c r="H77" s="138"/>
      <c r="I77" s="138"/>
      <c r="J77" s="116">
        <f t="shared" si="4"/>
        <v>0</v>
      </c>
      <c r="K77" s="138"/>
      <c r="L77" s="139"/>
      <c r="M77" s="138"/>
      <c r="N77" s="138"/>
      <c r="O77" s="138"/>
      <c r="P77" s="116">
        <f t="shared" si="5"/>
        <v>0</v>
      </c>
      <c r="Q77" s="138"/>
      <c r="R77" s="138"/>
      <c r="S77" s="138"/>
      <c r="T77" s="138"/>
      <c r="U77" s="138"/>
      <c r="V77" s="138"/>
      <c r="W77" s="117"/>
      <c r="X77" s="117">
        <f t="shared" si="2"/>
        <v>0</v>
      </c>
      <c r="Y77" s="135"/>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c r="W78" s="117"/>
      <c r="X78" s="117">
        <f t="shared" si="2"/>
        <v>0</v>
      </c>
      <c r="Y78" s="135"/>
    </row>
    <row r="79" spans="1:25" ht="378">
      <c r="A79" s="469"/>
      <c r="B79" s="476" t="s">
        <v>121</v>
      </c>
      <c r="C79" s="476" t="s">
        <v>122</v>
      </c>
      <c r="D79" s="106">
        <v>73</v>
      </c>
      <c r="E79" s="106" t="s">
        <v>123</v>
      </c>
      <c r="F79" s="147">
        <v>2.2999999999999998</v>
      </c>
      <c r="G79" s="147"/>
      <c r="H79" s="147"/>
      <c r="I79" s="147">
        <v>0.4</v>
      </c>
      <c r="J79" s="148">
        <f t="shared" si="4"/>
        <v>0.4</v>
      </c>
      <c r="K79" s="147"/>
      <c r="L79" s="147">
        <v>1.5</v>
      </c>
      <c r="M79" s="147"/>
      <c r="N79" s="147"/>
      <c r="O79" s="147">
        <v>2.8</v>
      </c>
      <c r="P79" s="149">
        <f>O79</f>
        <v>2.8</v>
      </c>
      <c r="Q79" s="147"/>
      <c r="R79" s="147">
        <v>8.1</v>
      </c>
      <c r="S79" s="147"/>
      <c r="T79" s="147">
        <v>0.8</v>
      </c>
      <c r="U79" s="147"/>
      <c r="V79" s="147">
        <v>0.5</v>
      </c>
      <c r="W79" s="117"/>
      <c r="X79" s="117">
        <f t="shared" si="2"/>
        <v>16.399999999999999</v>
      </c>
      <c r="Y79" s="97" t="s">
        <v>1090</v>
      </c>
    </row>
    <row r="80" spans="1:25" ht="47.25">
      <c r="A80" s="469"/>
      <c r="B80" s="469"/>
      <c r="C80" s="469"/>
      <c r="D80" s="106">
        <v>74</v>
      </c>
      <c r="E80" s="106" t="s">
        <v>124</v>
      </c>
      <c r="F80" s="248">
        <v>61</v>
      </c>
      <c r="G80" s="147"/>
      <c r="H80" s="147"/>
      <c r="I80" s="150"/>
      <c r="J80" s="140">
        <v>0</v>
      </c>
      <c r="K80" s="150"/>
      <c r="L80" s="150"/>
      <c r="M80" s="150"/>
      <c r="N80" s="150"/>
      <c r="O80" s="150"/>
      <c r="P80" s="140">
        <v>0</v>
      </c>
      <c r="Q80" s="150"/>
      <c r="R80" s="150"/>
      <c r="S80" s="150"/>
      <c r="T80" s="150"/>
      <c r="U80" s="150"/>
      <c r="V80" s="150"/>
      <c r="W80" s="117"/>
      <c r="X80" s="117">
        <f t="shared" si="2"/>
        <v>61</v>
      </c>
      <c r="Y80" s="97" t="s">
        <v>1091</v>
      </c>
    </row>
    <row r="81" spans="1:25" ht="173.25">
      <c r="A81" s="469"/>
      <c r="B81" s="469"/>
      <c r="C81" s="469"/>
      <c r="D81" s="106">
        <v>75</v>
      </c>
      <c r="E81" s="106" t="s">
        <v>125</v>
      </c>
      <c r="F81" s="147">
        <v>1.5</v>
      </c>
      <c r="G81" s="147"/>
      <c r="H81" s="147"/>
      <c r="I81" s="150"/>
      <c r="J81" s="140">
        <v>0</v>
      </c>
      <c r="K81" s="150"/>
      <c r="L81" s="150"/>
      <c r="M81" s="150"/>
      <c r="N81" s="150"/>
      <c r="O81" s="150"/>
      <c r="P81" s="140">
        <v>0</v>
      </c>
      <c r="Q81" s="150"/>
      <c r="R81" s="150"/>
      <c r="S81" s="147"/>
      <c r="T81" s="147">
        <v>1.1000000000000001</v>
      </c>
      <c r="U81" s="127"/>
      <c r="V81" s="150"/>
      <c r="W81" s="117"/>
      <c r="X81" s="117">
        <f t="shared" si="2"/>
        <v>2.6</v>
      </c>
      <c r="Y81" s="97" t="s">
        <v>1092</v>
      </c>
    </row>
    <row r="82" spans="1:25" ht="126">
      <c r="A82" s="469"/>
      <c r="B82" s="469"/>
      <c r="C82" s="469"/>
      <c r="D82" s="106">
        <v>76</v>
      </c>
      <c r="E82" s="106" t="s">
        <v>126</v>
      </c>
      <c r="F82" s="150">
        <v>1.5</v>
      </c>
      <c r="G82" s="150"/>
      <c r="H82" s="150"/>
      <c r="I82" s="150"/>
      <c r="J82" s="140">
        <v>0</v>
      </c>
      <c r="K82" s="150"/>
      <c r="L82" s="150"/>
      <c r="M82" s="150"/>
      <c r="N82" s="150"/>
      <c r="O82" s="147"/>
      <c r="P82" s="140">
        <v>0</v>
      </c>
      <c r="Q82" s="147"/>
      <c r="R82" s="147">
        <v>1.2</v>
      </c>
      <c r="S82" s="150"/>
      <c r="T82" s="150"/>
      <c r="U82" s="150"/>
      <c r="V82" s="150"/>
      <c r="W82" s="117"/>
      <c r="X82" s="117">
        <f t="shared" si="2"/>
        <v>2.7</v>
      </c>
      <c r="Y82" s="97" t="s">
        <v>1093</v>
      </c>
    </row>
    <row r="83" spans="1:25" ht="236.25">
      <c r="A83" s="469"/>
      <c r="B83" s="469"/>
      <c r="C83" s="469"/>
      <c r="D83" s="106">
        <v>77</v>
      </c>
      <c r="E83" s="106" t="s">
        <v>127</v>
      </c>
      <c r="F83" s="147">
        <v>0.2</v>
      </c>
      <c r="G83" s="147"/>
      <c r="H83" s="147"/>
      <c r="I83" s="147">
        <v>0.25</v>
      </c>
      <c r="J83" s="149">
        <f>I83</f>
        <v>0.25</v>
      </c>
      <c r="K83" s="147"/>
      <c r="L83" s="147">
        <v>3.6</v>
      </c>
      <c r="M83" s="150"/>
      <c r="N83" s="150"/>
      <c r="O83" s="147">
        <v>0.9</v>
      </c>
      <c r="P83" s="149">
        <f>O83</f>
        <v>0.9</v>
      </c>
      <c r="Q83" s="147"/>
      <c r="R83" s="147"/>
      <c r="S83" s="150"/>
      <c r="T83" s="150"/>
      <c r="U83" s="147"/>
      <c r="V83" s="147">
        <v>0</v>
      </c>
      <c r="W83" s="117"/>
      <c r="X83" s="117">
        <f>F83+I83+L83+P83</f>
        <v>4.95</v>
      </c>
      <c r="Y83" s="97" t="s">
        <v>1094</v>
      </c>
    </row>
    <row r="84" spans="1:25" ht="47.25">
      <c r="A84" s="469"/>
      <c r="B84" s="469"/>
      <c r="C84" s="469"/>
      <c r="D84" s="106">
        <v>78</v>
      </c>
      <c r="E84" s="106" t="s">
        <v>128</v>
      </c>
      <c r="F84" s="150"/>
      <c r="G84" s="150"/>
      <c r="H84" s="150"/>
      <c r="I84" s="150"/>
      <c r="J84" s="116">
        <f>H84+I84</f>
        <v>0</v>
      </c>
      <c r="K84" s="150"/>
      <c r="L84" s="150"/>
      <c r="M84" s="150"/>
      <c r="N84" s="150"/>
      <c r="O84" s="150"/>
      <c r="P84" s="116">
        <f>N84+O84</f>
        <v>0</v>
      </c>
      <c r="Q84" s="150"/>
      <c r="R84" s="150"/>
      <c r="S84" s="150"/>
      <c r="T84" s="150"/>
      <c r="U84" s="150"/>
      <c r="V84" s="150"/>
      <c r="W84" s="117"/>
      <c r="X84" s="117">
        <f>F84+J84+L84+P84+R84+T84+V84</f>
        <v>0</v>
      </c>
      <c r="Y84" s="97"/>
    </row>
    <row r="85" spans="1:25" ht="47.25" hidden="1">
      <c r="A85" s="469"/>
      <c r="B85" s="469"/>
      <c r="C85" s="469"/>
      <c r="D85" s="106">
        <v>79</v>
      </c>
      <c r="E85" s="106" t="s">
        <v>44</v>
      </c>
      <c r="F85" s="151"/>
      <c r="G85" s="151"/>
      <c r="H85" s="151"/>
      <c r="I85" s="151"/>
      <c r="J85" s="116">
        <f t="shared" ref="J85:J92" si="6">H85+I85</f>
        <v>0</v>
      </c>
      <c r="K85" s="151"/>
      <c r="L85" s="151"/>
      <c r="M85" s="151"/>
      <c r="N85" s="151"/>
      <c r="O85" s="151"/>
      <c r="P85" s="116">
        <f t="shared" ref="P85:P92" si="7">N85+O85</f>
        <v>0</v>
      </c>
      <c r="Q85" s="151"/>
      <c r="R85" s="151"/>
      <c r="S85" s="151"/>
      <c r="T85" s="151"/>
      <c r="U85" s="151"/>
      <c r="V85" s="151"/>
      <c r="W85" s="117"/>
      <c r="X85" s="117">
        <f t="shared" si="2"/>
        <v>0</v>
      </c>
      <c r="Y85" s="97"/>
    </row>
    <row r="86" spans="1:25" ht="15.75">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7"/>
    </row>
    <row r="87" spans="1:25" ht="47.25">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c r="U87" s="120"/>
      <c r="V87" s="120"/>
      <c r="W87" s="117"/>
      <c r="X87" s="117">
        <f t="shared" si="2"/>
        <v>0</v>
      </c>
      <c r="Y87" s="97"/>
    </row>
    <row r="88" spans="1:25" ht="63">
      <c r="A88" s="469"/>
      <c r="B88" s="469"/>
      <c r="C88" s="469"/>
      <c r="D88" s="106">
        <v>82</v>
      </c>
      <c r="E88" s="106" t="s">
        <v>133</v>
      </c>
      <c r="F88" s="120"/>
      <c r="G88" s="120"/>
      <c r="H88" s="120"/>
      <c r="I88" s="120"/>
      <c r="J88" s="116">
        <f t="shared" si="6"/>
        <v>0</v>
      </c>
      <c r="K88" s="120"/>
      <c r="L88" s="120"/>
      <c r="M88" s="120"/>
      <c r="N88" s="120"/>
      <c r="O88" s="120"/>
      <c r="P88" s="116">
        <f t="shared" si="7"/>
        <v>0</v>
      </c>
      <c r="Q88" s="120"/>
      <c r="R88" s="120"/>
      <c r="S88" s="121"/>
      <c r="T88" s="121">
        <v>0.1</v>
      </c>
      <c r="U88" s="120"/>
      <c r="V88" s="120"/>
      <c r="W88" s="117"/>
      <c r="X88" s="117">
        <f t="shared" si="2"/>
        <v>0.1</v>
      </c>
      <c r="Y88" s="250" t="s">
        <v>957</v>
      </c>
    </row>
    <row r="89" spans="1:25" ht="33" customHeight="1">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v>0</v>
      </c>
      <c r="U89" s="120"/>
      <c r="V89" s="120"/>
      <c r="W89" s="117"/>
      <c r="X89" s="117">
        <f t="shared" si="2"/>
        <v>0.5</v>
      </c>
      <c r="Y89" s="97" t="s">
        <v>956</v>
      </c>
    </row>
    <row r="90" spans="1:25" ht="78.75">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c r="W90" s="117"/>
      <c r="X90" s="117">
        <f t="shared" si="2"/>
        <v>0</v>
      </c>
      <c r="Y90" s="97" t="s">
        <v>343</v>
      </c>
    </row>
    <row r="91" spans="1:25" ht="110.2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7" t="s">
        <v>344</v>
      </c>
    </row>
    <row r="92" spans="1:25" ht="94.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7"/>
    </row>
    <row r="93" spans="1:25" ht="15.75">
      <c r="A93" s="469"/>
      <c r="B93" s="476" t="s">
        <v>143</v>
      </c>
      <c r="C93" s="469"/>
      <c r="D93" s="469"/>
      <c r="E93" s="106"/>
      <c r="F93" s="102">
        <f t="shared" ref="F93:W93" si="8">SUM(F69:F92)</f>
        <v>66.5</v>
      </c>
      <c r="G93" s="102">
        <f t="shared" si="8"/>
        <v>0</v>
      </c>
      <c r="H93" s="102">
        <f t="shared" si="8"/>
        <v>0</v>
      </c>
      <c r="I93" s="102">
        <f t="shared" si="8"/>
        <v>0.65</v>
      </c>
      <c r="J93" s="102">
        <f t="shared" si="8"/>
        <v>0.65</v>
      </c>
      <c r="K93" s="102">
        <f t="shared" si="8"/>
        <v>0</v>
      </c>
      <c r="L93" s="102">
        <f t="shared" si="8"/>
        <v>5.2040000000000006</v>
      </c>
      <c r="M93" s="102">
        <f t="shared" si="8"/>
        <v>0</v>
      </c>
      <c r="N93" s="102">
        <f t="shared" si="8"/>
        <v>0</v>
      </c>
      <c r="O93" s="102">
        <f t="shared" si="8"/>
        <v>4.32</v>
      </c>
      <c r="P93" s="102">
        <f t="shared" si="8"/>
        <v>4.32</v>
      </c>
      <c r="Q93" s="102">
        <f t="shared" si="8"/>
        <v>0</v>
      </c>
      <c r="R93" s="102">
        <f t="shared" si="8"/>
        <v>9.4999999999999982</v>
      </c>
      <c r="S93" s="102">
        <f t="shared" si="8"/>
        <v>0</v>
      </c>
      <c r="T93" s="102">
        <f t="shared" si="8"/>
        <v>86.97699999999999</v>
      </c>
      <c r="U93" s="102">
        <f t="shared" si="8"/>
        <v>0</v>
      </c>
      <c r="V93" s="102">
        <f t="shared" si="8"/>
        <v>2.7</v>
      </c>
      <c r="W93" s="102">
        <f t="shared" si="8"/>
        <v>0</v>
      </c>
      <c r="X93" s="102">
        <f t="shared" si="2"/>
        <v>175.851</v>
      </c>
      <c r="Y93" s="251"/>
    </row>
    <row r="94" spans="1:25" ht="94.5">
      <c r="A94" s="477" t="s">
        <v>144</v>
      </c>
      <c r="B94" s="476" t="s">
        <v>145</v>
      </c>
      <c r="C94" s="476" t="s">
        <v>146</v>
      </c>
      <c r="D94" s="106">
        <v>87</v>
      </c>
      <c r="E94" s="106" t="s">
        <v>147</v>
      </c>
      <c r="F94" s="155"/>
      <c r="G94" s="155"/>
      <c r="H94" s="155"/>
      <c r="I94" s="155"/>
      <c r="J94" s="116">
        <f t="shared" ref="J94:J133" si="9">H94+I94</f>
        <v>0</v>
      </c>
      <c r="K94" s="155"/>
      <c r="L94" s="155"/>
      <c r="M94" s="155"/>
      <c r="N94" s="155"/>
      <c r="O94" s="122">
        <v>18</v>
      </c>
      <c r="P94" s="117">
        <f t="shared" ref="P94:P133" si="10">N94+O94</f>
        <v>18</v>
      </c>
      <c r="Q94" s="155"/>
      <c r="R94" s="155"/>
      <c r="S94" s="155"/>
      <c r="T94" s="155"/>
      <c r="U94" s="155"/>
      <c r="V94" s="155"/>
      <c r="W94" s="117"/>
      <c r="X94" s="117">
        <f t="shared" si="2"/>
        <v>18</v>
      </c>
      <c r="Y94" s="225" t="s">
        <v>598</v>
      </c>
    </row>
    <row r="95" spans="1:25" ht="47.25">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v>7</v>
      </c>
      <c r="U95" s="155"/>
      <c r="V95" s="155"/>
      <c r="W95" s="117"/>
      <c r="X95" s="117">
        <f t="shared" si="2"/>
        <v>7</v>
      </c>
      <c r="Y95" s="225" t="s">
        <v>1153</v>
      </c>
    </row>
    <row r="96" spans="1:25" ht="78.7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225"/>
    </row>
    <row r="97" spans="1:25" ht="63">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225"/>
    </row>
    <row r="98" spans="1:25" ht="47.2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226"/>
    </row>
    <row r="99" spans="1:25" ht="78.7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c r="U99" s="155"/>
      <c r="V99" s="155"/>
      <c r="W99" s="117"/>
      <c r="X99" s="117">
        <f t="shared" si="2"/>
        <v>0</v>
      </c>
      <c r="Y99" s="230"/>
    </row>
    <row r="100" spans="1:25" ht="63">
      <c r="A100" s="469"/>
      <c r="B100" s="469"/>
      <c r="C100" s="469"/>
      <c r="D100" s="106">
        <v>93</v>
      </c>
      <c r="E100" s="106" t="s">
        <v>153</v>
      </c>
      <c r="F100" s="155"/>
      <c r="G100" s="155"/>
      <c r="H100" s="155"/>
      <c r="I100" s="155"/>
      <c r="J100" s="116">
        <f t="shared" si="9"/>
        <v>0</v>
      </c>
      <c r="K100" s="158"/>
      <c r="L100" s="158">
        <v>4.5</v>
      </c>
      <c r="M100" s="155"/>
      <c r="N100" s="155"/>
      <c r="O100" s="155"/>
      <c r="P100" s="116">
        <f t="shared" si="10"/>
        <v>0</v>
      </c>
      <c r="Q100" s="155"/>
      <c r="R100" s="155"/>
      <c r="S100" s="155"/>
      <c r="T100" s="155"/>
      <c r="U100" s="155"/>
      <c r="V100" s="155"/>
      <c r="W100" s="117"/>
      <c r="X100" s="117">
        <f t="shared" si="2"/>
        <v>4.5</v>
      </c>
      <c r="Y100" s="227" t="s">
        <v>600</v>
      </c>
    </row>
    <row r="101" spans="1:25" ht="63">
      <c r="A101" s="469"/>
      <c r="B101" s="469"/>
      <c r="C101" s="469"/>
      <c r="D101" s="106">
        <v>94</v>
      </c>
      <c r="E101" s="106" t="s">
        <v>154</v>
      </c>
      <c r="F101" s="155"/>
      <c r="G101" s="155"/>
      <c r="H101" s="155"/>
      <c r="I101" s="155"/>
      <c r="J101" s="116">
        <f t="shared" si="9"/>
        <v>0</v>
      </c>
      <c r="K101" s="158"/>
      <c r="L101" s="158">
        <v>4.5</v>
      </c>
      <c r="M101" s="155"/>
      <c r="N101" s="155"/>
      <c r="O101" s="155"/>
      <c r="P101" s="116">
        <f t="shared" si="10"/>
        <v>0</v>
      </c>
      <c r="Q101" s="155"/>
      <c r="R101" s="155"/>
      <c r="S101" s="155"/>
      <c r="T101" s="155"/>
      <c r="U101" s="155"/>
      <c r="V101" s="155"/>
      <c r="W101" s="117"/>
      <c r="X101" s="117">
        <f t="shared" si="2"/>
        <v>4.5</v>
      </c>
      <c r="Y101" s="231" t="s">
        <v>601</v>
      </c>
    </row>
    <row r="102" spans="1:25" ht="94.5">
      <c r="A102" s="469"/>
      <c r="B102" s="469"/>
      <c r="C102" s="469"/>
      <c r="D102" s="106">
        <v>95</v>
      </c>
      <c r="E102" s="106" t="s">
        <v>155</v>
      </c>
      <c r="F102" s="155"/>
      <c r="G102" s="155"/>
      <c r="H102" s="155"/>
      <c r="I102" s="158"/>
      <c r="J102" s="125">
        <f t="shared" si="9"/>
        <v>0</v>
      </c>
      <c r="K102" s="122"/>
      <c r="L102" s="122"/>
      <c r="M102" s="155"/>
      <c r="N102" s="155"/>
      <c r="O102" s="155"/>
      <c r="P102" s="116">
        <f t="shared" si="10"/>
        <v>0</v>
      </c>
      <c r="Q102" s="155"/>
      <c r="R102" s="155"/>
      <c r="S102" s="155"/>
      <c r="T102" s="155"/>
      <c r="U102" s="155"/>
      <c r="V102" s="155"/>
      <c r="W102" s="117"/>
      <c r="X102" s="117">
        <f t="shared" si="2"/>
        <v>0</v>
      </c>
      <c r="Y102" s="97"/>
    </row>
    <row r="103" spans="1:25" ht="47.25">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1</v>
      </c>
      <c r="U103" s="155"/>
      <c r="V103" s="155"/>
      <c r="W103" s="117"/>
      <c r="X103" s="117">
        <f t="shared" si="2"/>
        <v>1</v>
      </c>
      <c r="Y103" s="97" t="s">
        <v>157</v>
      </c>
    </row>
    <row r="104" spans="1:25" ht="78.75">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10.6</v>
      </c>
      <c r="U104" s="140"/>
      <c r="V104" s="140"/>
      <c r="W104" s="117"/>
      <c r="X104" s="117">
        <f t="shared" si="2"/>
        <v>10.6</v>
      </c>
      <c r="Y104" s="135" t="s">
        <v>642</v>
      </c>
    </row>
    <row r="105" spans="1:25" ht="47.25">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31.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63">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2.15</v>
      </c>
      <c r="U109" s="140"/>
      <c r="V109" s="140"/>
      <c r="W109" s="117"/>
      <c r="X109" s="117">
        <f t="shared" si="2"/>
        <v>2.15</v>
      </c>
      <c r="Y109" s="97" t="s">
        <v>643</v>
      </c>
    </row>
    <row r="110" spans="1:25" ht="47.25">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135"/>
    </row>
    <row r="112" spans="1:25" ht="110.2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31.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135"/>
    </row>
    <row r="114" spans="1:25" ht="31.5">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31.5">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47.25">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47.2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31.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252"/>
    </row>
    <row r="121" spans="1:25" ht="125.25" customHeight="1">
      <c r="A121" s="469"/>
      <c r="B121" s="106" t="s">
        <v>183</v>
      </c>
      <c r="C121" s="106" t="s">
        <v>184</v>
      </c>
      <c r="D121" s="106">
        <v>114</v>
      </c>
      <c r="E121" s="106" t="s">
        <v>185</v>
      </c>
      <c r="F121" s="120"/>
      <c r="G121" s="120"/>
      <c r="H121" s="120"/>
      <c r="I121" s="121">
        <v>6</v>
      </c>
      <c r="J121" s="125">
        <f t="shared" si="9"/>
        <v>6</v>
      </c>
      <c r="K121" s="120"/>
      <c r="L121" s="120">
        <v>0.4</v>
      </c>
      <c r="M121" s="120"/>
      <c r="N121" s="120"/>
      <c r="O121" s="120"/>
      <c r="P121" s="116">
        <f t="shared" si="10"/>
        <v>0</v>
      </c>
      <c r="Q121" s="120"/>
      <c r="R121" s="120"/>
      <c r="S121" s="120"/>
      <c r="T121" s="267">
        <v>3</v>
      </c>
      <c r="U121" s="121"/>
      <c r="V121" s="121"/>
      <c r="W121" s="117"/>
      <c r="X121" s="117">
        <f t="shared" si="2"/>
        <v>9.4</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135" t="s">
        <v>636</v>
      </c>
    </row>
    <row r="123" spans="1:25" ht="31.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3.85</v>
      </c>
      <c r="S123" s="140"/>
      <c r="T123" s="140"/>
      <c r="U123" s="140"/>
      <c r="V123" s="140"/>
      <c r="W123" s="117"/>
      <c r="X123" s="117">
        <f t="shared" si="2"/>
        <v>3.85</v>
      </c>
      <c r="Y123" s="135" t="s">
        <v>641</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7"/>
    </row>
    <row r="125" spans="1:25" ht="47.2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7"/>
    </row>
    <row r="126" spans="1:25" ht="94.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61">
        <v>5</v>
      </c>
      <c r="U126" s="140"/>
      <c r="V126" s="140"/>
      <c r="W126" s="117"/>
      <c r="X126" s="117">
        <f t="shared" si="2"/>
        <v>5</v>
      </c>
      <c r="Y126" s="135" t="s">
        <v>638</v>
      </c>
    </row>
    <row r="127" spans="1:25" ht="126">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161"/>
      <c r="S127" s="161"/>
      <c r="T127" s="161"/>
      <c r="U127" s="140"/>
      <c r="V127" s="140"/>
      <c r="W127" s="117"/>
      <c r="X127" s="117">
        <f t="shared" si="2"/>
        <v>0</v>
      </c>
      <c r="Y127" s="97"/>
    </row>
    <row r="128" spans="1:25" ht="31.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140"/>
      <c r="S128" s="140"/>
      <c r="T128" s="140"/>
      <c r="U128" s="140"/>
      <c r="V128" s="140"/>
      <c r="W128" s="117"/>
      <c r="X128" s="117">
        <f t="shared" si="2"/>
        <v>0</v>
      </c>
      <c r="Y128" s="135"/>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135"/>
    </row>
    <row r="130" spans="1:25" ht="31.5" hidden="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98"/>
    </row>
    <row r="131" spans="1:25" ht="31.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252"/>
    </row>
    <row r="132" spans="1:25" ht="47.25">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252"/>
    </row>
    <row r="133" spans="1:25" ht="94.5" hidden="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7"/>
    </row>
    <row r="134" spans="1:25" ht="50.25" customHeight="1">
      <c r="A134" s="469"/>
      <c r="B134" s="476" t="s">
        <v>208</v>
      </c>
      <c r="C134" s="469"/>
      <c r="D134" s="469"/>
      <c r="E134" s="106"/>
      <c r="F134" s="100">
        <f t="shared" ref="F134:W134" si="11">SUM(F94:F133)</f>
        <v>0</v>
      </c>
      <c r="G134" s="100">
        <f t="shared" si="11"/>
        <v>0</v>
      </c>
      <c r="H134" s="100">
        <f t="shared" si="11"/>
        <v>0</v>
      </c>
      <c r="I134" s="100">
        <f t="shared" si="11"/>
        <v>6</v>
      </c>
      <c r="J134" s="100">
        <f t="shared" si="11"/>
        <v>6</v>
      </c>
      <c r="K134" s="100">
        <f t="shared" si="11"/>
        <v>0</v>
      </c>
      <c r="L134" s="100">
        <f t="shared" si="11"/>
        <v>10.4</v>
      </c>
      <c r="M134" s="100">
        <f t="shared" si="11"/>
        <v>0</v>
      </c>
      <c r="N134" s="100">
        <f t="shared" si="11"/>
        <v>0</v>
      </c>
      <c r="O134" s="102">
        <f t="shared" si="11"/>
        <v>18</v>
      </c>
      <c r="P134" s="102">
        <f t="shared" si="11"/>
        <v>18</v>
      </c>
      <c r="Q134" s="100">
        <f t="shared" si="11"/>
        <v>0</v>
      </c>
      <c r="R134" s="100">
        <f t="shared" si="11"/>
        <v>3.85</v>
      </c>
      <c r="S134" s="100">
        <f t="shared" si="11"/>
        <v>0</v>
      </c>
      <c r="T134" s="100">
        <f t="shared" si="11"/>
        <v>32.61</v>
      </c>
      <c r="U134" s="100">
        <f t="shared" si="11"/>
        <v>0</v>
      </c>
      <c r="V134" s="100">
        <f t="shared" si="11"/>
        <v>0</v>
      </c>
      <c r="W134" s="102">
        <f t="shared" si="11"/>
        <v>0</v>
      </c>
      <c r="X134" s="100">
        <f t="shared" si="2"/>
        <v>70.86</v>
      </c>
      <c r="Y134" s="253"/>
    </row>
    <row r="135" spans="1:25" ht="78.75">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120"/>
      <c r="U135" s="120"/>
      <c r="V135" s="120"/>
      <c r="W135" s="117"/>
      <c r="X135" s="117">
        <f t="shared" si="2"/>
        <v>0</v>
      </c>
      <c r="Y135" s="97"/>
    </row>
    <row r="136" spans="1:25" ht="47.25">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163"/>
      <c r="U136" s="120"/>
      <c r="V136" s="120"/>
      <c r="W136" s="117"/>
      <c r="X136" s="117">
        <f t="shared" si="2"/>
        <v>0</v>
      </c>
      <c r="Y136" s="135"/>
    </row>
    <row r="137" spans="1:25" ht="47.2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120"/>
      <c r="U137" s="120"/>
      <c r="V137" s="120"/>
      <c r="W137" s="117"/>
      <c r="X137" s="117">
        <f t="shared" si="2"/>
        <v>0</v>
      </c>
      <c r="Y137" s="97"/>
    </row>
    <row r="138" spans="1:25" ht="78.75">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120"/>
      <c r="U138" s="120"/>
      <c r="V138" s="120"/>
      <c r="W138" s="117"/>
      <c r="X138" s="117">
        <f t="shared" si="2"/>
        <v>0</v>
      </c>
      <c r="Y138" s="97"/>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120"/>
      <c r="U140" s="120"/>
      <c r="V140" s="120"/>
      <c r="W140" s="117"/>
      <c r="X140" s="117">
        <f t="shared" si="2"/>
        <v>0</v>
      </c>
      <c r="Y140" s="97"/>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120"/>
      <c r="U141" s="120"/>
      <c r="V141" s="120"/>
      <c r="W141" s="117"/>
      <c r="X141" s="117">
        <f t="shared" si="2"/>
        <v>0</v>
      </c>
      <c r="Y141" s="97"/>
    </row>
    <row r="142" spans="1:25" ht="98.25" customHeight="1">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(2*0.025*12)</f>
        <v>0.60000000000000009</v>
      </c>
      <c r="U142" s="120"/>
      <c r="V142" s="120"/>
      <c r="W142" s="117"/>
      <c r="X142" s="117">
        <f t="shared" si="2"/>
        <v>0.60000000000000009</v>
      </c>
      <c r="Y142" s="254" t="s">
        <v>668</v>
      </c>
    </row>
    <row r="143" spans="1:25" ht="63">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120"/>
      <c r="U143" s="120"/>
      <c r="V143" s="120"/>
      <c r="W143" s="117"/>
      <c r="X143" s="117">
        <f t="shared" si="2"/>
        <v>0</v>
      </c>
      <c r="Y143" s="97"/>
    </row>
    <row r="144" spans="1:25" ht="63">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122"/>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22"/>
      <c r="U145" s="120"/>
      <c r="V145" s="120"/>
      <c r="W145" s="117"/>
      <c r="X145" s="117">
        <f t="shared" si="2"/>
        <v>0</v>
      </c>
      <c r="Y145" s="135"/>
    </row>
    <row r="146" spans="1:25" ht="47.2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120"/>
      <c r="U146" s="120"/>
      <c r="V146" s="120"/>
      <c r="W146" s="117"/>
      <c r="X146" s="117">
        <f t="shared" si="2"/>
        <v>0</v>
      </c>
      <c r="Y146" s="135"/>
    </row>
    <row r="147" spans="1:25" ht="63">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f>0*0.5</f>
        <v>0</v>
      </c>
      <c r="U147" s="120"/>
      <c r="V147" s="120"/>
      <c r="W147" s="117"/>
      <c r="X147" s="117">
        <f t="shared" si="2"/>
        <v>0</v>
      </c>
      <c r="Y147" s="135"/>
    </row>
    <row r="148" spans="1:25" ht="63">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22">
        <v>0.27</v>
      </c>
      <c r="U148" s="120"/>
      <c r="V148" s="120"/>
      <c r="W148" s="117"/>
      <c r="X148" s="117">
        <f t="shared" si="2"/>
        <v>0.27</v>
      </c>
      <c r="Y148" s="234" t="s">
        <v>670</v>
      </c>
    </row>
    <row r="149" spans="1:25" ht="31.5" hidden="1">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20"/>
      <c r="U149" s="120"/>
      <c r="V149" s="120"/>
      <c r="W149" s="117"/>
      <c r="X149" s="117">
        <f t="shared" si="2"/>
        <v>0</v>
      </c>
      <c r="Y149" s="97"/>
    </row>
    <row r="150" spans="1:25" ht="66" customHeight="1">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150">
        <f>475.45-100</f>
        <v>375.45</v>
      </c>
      <c r="U150" s="120"/>
      <c r="V150" s="120"/>
      <c r="W150" s="117"/>
      <c r="X150" s="117">
        <f t="shared" si="2"/>
        <v>375.45</v>
      </c>
      <c r="Y150" s="97" t="s">
        <v>671</v>
      </c>
    </row>
    <row r="151" spans="1:25" ht="63">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120"/>
      <c r="U151" s="120"/>
      <c r="V151" s="120"/>
      <c r="W151" s="117"/>
      <c r="X151" s="117">
        <f t="shared" si="2"/>
        <v>0</v>
      </c>
      <c r="Y151" s="97"/>
    </row>
    <row r="152" spans="1:25" ht="49.5" customHeight="1">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120"/>
      <c r="U152" s="120"/>
      <c r="V152" s="120"/>
      <c r="W152" s="117"/>
      <c r="X152" s="117">
        <f t="shared" si="2"/>
        <v>0</v>
      </c>
      <c r="Y152" s="97"/>
    </row>
    <row r="153" spans="1:25" ht="47.25">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120"/>
      <c r="U153" s="120"/>
      <c r="V153" s="120"/>
      <c r="W153" s="117"/>
      <c r="X153" s="117">
        <f t="shared" si="2"/>
        <v>0</v>
      </c>
      <c r="Y153" s="97"/>
    </row>
    <row r="154" spans="1:25" ht="78.75">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120">
        <v>6</v>
      </c>
      <c r="U154" s="120"/>
      <c r="V154" s="120"/>
      <c r="W154" s="117"/>
      <c r="X154" s="117">
        <f t="shared" si="2"/>
        <v>6</v>
      </c>
      <c r="Y154" s="256" t="s">
        <v>672</v>
      </c>
    </row>
    <row r="155" spans="1:25" ht="31.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120"/>
      <c r="U155" s="120"/>
      <c r="V155" s="120"/>
      <c r="W155" s="117"/>
      <c r="X155" s="117">
        <f t="shared" si="2"/>
        <v>0</v>
      </c>
      <c r="Y155" s="97"/>
    </row>
    <row r="156" spans="1:25" ht="78.75"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135"/>
    </row>
    <row r="157" spans="1:25" ht="63">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263">
        <f>41*0.03</f>
        <v>1.23</v>
      </c>
      <c r="U157" s="151"/>
      <c r="V157" s="151"/>
      <c r="W157" s="117"/>
      <c r="X157" s="117">
        <f t="shared" si="2"/>
        <v>1.23</v>
      </c>
      <c r="Y157" s="135" t="s">
        <v>673</v>
      </c>
    </row>
    <row r="158" spans="1:25" ht="34.5" customHeight="1">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0">
        <f t="shared" si="14"/>
        <v>383.55</v>
      </c>
      <c r="U158" s="100">
        <f t="shared" si="14"/>
        <v>0</v>
      </c>
      <c r="V158" s="100">
        <f t="shared" si="14"/>
        <v>0</v>
      </c>
      <c r="W158" s="102">
        <f t="shared" si="14"/>
        <v>0</v>
      </c>
      <c r="X158" s="100">
        <f t="shared" si="2"/>
        <v>383.55</v>
      </c>
      <c r="Y158" s="253"/>
    </row>
    <row r="159" spans="1:25" ht="78.75">
      <c r="A159" s="477" t="s">
        <v>252</v>
      </c>
      <c r="B159" s="476" t="s">
        <v>253</v>
      </c>
      <c r="C159" s="476" t="s">
        <v>211</v>
      </c>
      <c r="D159" s="106">
        <v>150</v>
      </c>
      <c r="E159" s="106" t="s">
        <v>239</v>
      </c>
      <c r="F159" s="120"/>
      <c r="G159" s="121"/>
      <c r="H159" s="244">
        <v>180</v>
      </c>
      <c r="I159" s="121"/>
      <c r="J159" s="125">
        <f t="shared" ref="J159:J215" si="15">H159+I159</f>
        <v>180</v>
      </c>
      <c r="K159" s="120"/>
      <c r="L159" s="120"/>
      <c r="M159" s="120"/>
      <c r="N159" s="120"/>
      <c r="O159" s="120"/>
      <c r="P159" s="116">
        <f t="shared" ref="P159:P215" si="16">N159+O159</f>
        <v>0</v>
      </c>
      <c r="Q159" s="120"/>
      <c r="R159" s="120"/>
      <c r="S159" s="121"/>
      <c r="T159" s="121">
        <v>1</v>
      </c>
      <c r="U159" s="120"/>
      <c r="V159" s="120"/>
      <c r="W159" s="117"/>
      <c r="X159" s="117">
        <f t="shared" si="2"/>
        <v>181</v>
      </c>
      <c r="Y159" s="257" t="s">
        <v>1011</v>
      </c>
    </row>
    <row r="160" spans="1:25" ht="47.2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20"/>
      <c r="S160" s="121"/>
      <c r="T160" s="121"/>
      <c r="U160" s="120"/>
      <c r="V160" s="120"/>
      <c r="W160" s="117"/>
      <c r="X160" s="117">
        <f t="shared" si="2"/>
        <v>0</v>
      </c>
      <c r="Y160" s="97"/>
    </row>
    <row r="161" spans="1:25" ht="47.25">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20"/>
      <c r="S161" s="121"/>
      <c r="T161" s="98">
        <f>261*3600/100000</f>
        <v>9.3960000000000008</v>
      </c>
      <c r="U161" s="120"/>
      <c r="V161" s="120"/>
      <c r="W161" s="117"/>
      <c r="X161" s="117">
        <f t="shared" si="2"/>
        <v>9.3960000000000008</v>
      </c>
      <c r="Y161" s="135" t="s">
        <v>1012</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51"/>
      <c r="S162" s="151"/>
      <c r="T162" s="151"/>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22"/>
      <c r="S163" s="120"/>
      <c r="T163" s="120"/>
      <c r="U163" s="120"/>
      <c r="V163" s="120"/>
      <c r="W163" s="117"/>
      <c r="X163" s="117">
        <f t="shared" si="2"/>
        <v>0</v>
      </c>
      <c r="Y163" s="97"/>
    </row>
    <row r="164" spans="1:25" ht="47.2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20"/>
      <c r="S164" s="121"/>
      <c r="T164" s="121"/>
      <c r="U164" s="120"/>
      <c r="V164" s="120"/>
      <c r="W164" s="117"/>
      <c r="X164" s="117">
        <f t="shared" si="2"/>
        <v>0</v>
      </c>
      <c r="Y164" s="97"/>
    </row>
    <row r="165" spans="1:25" ht="63">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20"/>
      <c r="S165" s="121"/>
      <c r="T165" s="121">
        <v>1</v>
      </c>
      <c r="U165" s="115"/>
      <c r="V165" s="120"/>
      <c r="W165" s="117"/>
      <c r="X165" s="117">
        <f t="shared" si="2"/>
        <v>1</v>
      </c>
      <c r="Y165" s="97" t="s">
        <v>810</v>
      </c>
    </row>
    <row r="166" spans="1:25" ht="47.2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20"/>
      <c r="S166" s="120"/>
      <c r="T166" s="120"/>
      <c r="U166" s="120"/>
      <c r="V166" s="120"/>
      <c r="W166" s="117"/>
      <c r="X166" s="117">
        <f t="shared" si="2"/>
        <v>0</v>
      </c>
      <c r="Y166" s="97"/>
    </row>
    <row r="167" spans="1:25" ht="63">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20"/>
      <c r="S167" s="120"/>
      <c r="T167" s="120"/>
      <c r="U167" s="120"/>
      <c r="V167" s="120"/>
      <c r="W167" s="117"/>
      <c r="X167" s="117">
        <f t="shared" si="2"/>
        <v>0</v>
      </c>
      <c r="Y167" s="97"/>
    </row>
    <row r="168" spans="1:25" ht="78.7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20"/>
      <c r="S168" s="121"/>
      <c r="T168" s="139">
        <v>26.076000000000001</v>
      </c>
      <c r="U168" s="120"/>
      <c r="V168" s="120"/>
      <c r="W168" s="117"/>
      <c r="X168" s="117">
        <f t="shared" si="2"/>
        <v>26.076000000000001</v>
      </c>
      <c r="Y168" s="97" t="s">
        <v>996</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20"/>
      <c r="S169" s="120"/>
      <c r="T169" s="120"/>
      <c r="U169" s="120"/>
      <c r="V169" s="120"/>
      <c r="W169" s="117"/>
      <c r="X169" s="117">
        <f t="shared" si="2"/>
        <v>0</v>
      </c>
      <c r="Y169" s="245"/>
    </row>
    <row r="170" spans="1:25" ht="15.75">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20"/>
      <c r="S170" s="120"/>
      <c r="T170" s="120"/>
      <c r="U170" s="120"/>
      <c r="V170" s="120"/>
      <c r="W170" s="117"/>
      <c r="X170" s="117">
        <f t="shared" si="2"/>
        <v>0</v>
      </c>
      <c r="Y170" s="97"/>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20"/>
      <c r="S171" s="120"/>
      <c r="T171" s="120"/>
      <c r="U171" s="120"/>
      <c r="V171" s="120"/>
      <c r="W171" s="117"/>
      <c r="X171" s="117">
        <f t="shared" si="2"/>
        <v>0</v>
      </c>
      <c r="Y171" s="97"/>
    </row>
    <row r="172" spans="1:25" ht="63">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20"/>
      <c r="S172" s="121"/>
      <c r="T172" s="121"/>
      <c r="U172" s="120"/>
      <c r="V172" s="120"/>
      <c r="W172" s="117"/>
      <c r="X172" s="117">
        <f t="shared" si="2"/>
        <v>0</v>
      </c>
      <c r="Y172" s="135"/>
    </row>
    <row r="173" spans="1:25" ht="31.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20"/>
      <c r="S173" s="120"/>
      <c r="T173" s="120"/>
      <c r="U173" s="120"/>
      <c r="V173" s="120"/>
      <c r="W173" s="117"/>
      <c r="X173" s="117">
        <f t="shared" si="2"/>
        <v>0</v>
      </c>
      <c r="Y173" s="97"/>
    </row>
    <row r="174" spans="1:25" ht="31.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20"/>
      <c r="S174" s="120"/>
      <c r="T174" s="120"/>
      <c r="U174" s="120"/>
      <c r="V174" s="120"/>
      <c r="W174" s="117"/>
      <c r="X174" s="117">
        <f t="shared" si="2"/>
        <v>0</v>
      </c>
      <c r="Y174" s="97"/>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20"/>
      <c r="S175" s="120"/>
      <c r="T175" s="120"/>
      <c r="U175" s="120"/>
      <c r="V175" s="120"/>
      <c r="W175" s="117"/>
      <c r="X175" s="117">
        <f t="shared" si="2"/>
        <v>0</v>
      </c>
      <c r="Y175" s="97"/>
    </row>
    <row r="176" spans="1:25" ht="31.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20"/>
      <c r="S176" s="120"/>
      <c r="T176" s="120"/>
      <c r="U176" s="120"/>
      <c r="V176" s="120"/>
      <c r="W176" s="117"/>
      <c r="X176" s="117">
        <f t="shared" si="2"/>
        <v>0</v>
      </c>
      <c r="Y176" s="97"/>
    </row>
    <row r="177" spans="1:25" ht="31.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20"/>
      <c r="S177" s="120"/>
      <c r="T177" s="120"/>
      <c r="U177" s="120"/>
      <c r="V177" s="120"/>
      <c r="W177" s="117"/>
      <c r="X177" s="117">
        <f t="shared" si="2"/>
        <v>0</v>
      </c>
      <c r="Y177" s="97"/>
    </row>
    <row r="178" spans="1:25" ht="78.75">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20"/>
      <c r="S178" s="120"/>
      <c r="T178" s="120"/>
      <c r="U178" s="120"/>
      <c r="V178" s="120"/>
      <c r="W178" s="117"/>
      <c r="X178" s="117">
        <f t="shared" si="2"/>
        <v>0</v>
      </c>
      <c r="Y178" s="97"/>
    </row>
    <row r="179" spans="1:25" ht="94.5">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20"/>
      <c r="S179" s="120"/>
      <c r="T179" s="120"/>
      <c r="U179" s="120"/>
      <c r="V179" s="120"/>
      <c r="W179" s="117"/>
      <c r="X179" s="117">
        <f t="shared" si="2"/>
        <v>0</v>
      </c>
      <c r="Y179" s="97"/>
    </row>
    <row r="180" spans="1:25" ht="47.2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20"/>
      <c r="S180" s="120"/>
      <c r="T180" s="120"/>
      <c r="U180" s="120"/>
      <c r="V180" s="120"/>
      <c r="W180" s="117"/>
      <c r="X180" s="117">
        <f t="shared" si="2"/>
        <v>0</v>
      </c>
      <c r="Y180" s="97"/>
    </row>
    <row r="181" spans="1:25" ht="47.2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20"/>
      <c r="S181" s="122"/>
      <c r="T181" s="122"/>
      <c r="U181" s="120"/>
      <c r="V181" s="120"/>
      <c r="W181" s="117"/>
      <c r="X181" s="117">
        <f t="shared" si="2"/>
        <v>0</v>
      </c>
      <c r="Y181" s="97"/>
    </row>
    <row r="182" spans="1:25" ht="47.2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20"/>
      <c r="S182" s="120"/>
      <c r="T182" s="120"/>
      <c r="U182" s="120"/>
      <c r="V182" s="120"/>
      <c r="W182" s="117"/>
      <c r="X182" s="117">
        <f t="shared" si="2"/>
        <v>0</v>
      </c>
      <c r="Y182" s="97"/>
    </row>
    <row r="183" spans="1:25" ht="31.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20"/>
      <c r="S183" s="122"/>
      <c r="T183" s="122"/>
      <c r="U183" s="120"/>
      <c r="V183" s="120"/>
      <c r="W183" s="117"/>
      <c r="X183" s="117">
        <f t="shared" si="2"/>
        <v>0</v>
      </c>
      <c r="Y183" s="97"/>
    </row>
    <row r="184" spans="1:25" ht="173.25">
      <c r="A184" s="469"/>
      <c r="B184" s="476" t="s">
        <v>282</v>
      </c>
      <c r="C184" s="476" t="s">
        <v>230</v>
      </c>
      <c r="D184" s="106">
        <v>175</v>
      </c>
      <c r="E184" s="106" t="s">
        <v>231</v>
      </c>
      <c r="F184" s="167"/>
      <c r="G184" s="167"/>
      <c r="H184" s="167"/>
      <c r="I184" s="167"/>
      <c r="J184" s="116">
        <f t="shared" si="15"/>
        <v>0</v>
      </c>
      <c r="K184" s="168"/>
      <c r="L184" s="168">
        <v>0</v>
      </c>
      <c r="M184" s="167"/>
      <c r="N184" s="167"/>
      <c r="O184" s="167"/>
      <c r="P184" s="116">
        <f t="shared" si="16"/>
        <v>0</v>
      </c>
      <c r="Q184" s="167"/>
      <c r="R184" s="167"/>
      <c r="S184" s="168"/>
      <c r="T184" s="168">
        <v>38.479999999999997</v>
      </c>
      <c r="U184" s="168"/>
      <c r="V184" s="168"/>
      <c r="W184" s="117"/>
      <c r="X184" s="117">
        <f t="shared" si="2"/>
        <v>38.479999999999997</v>
      </c>
      <c r="Y184" s="97" t="s">
        <v>681</v>
      </c>
    </row>
    <row r="185" spans="1:25" ht="283.5">
      <c r="A185" s="469"/>
      <c r="B185" s="469"/>
      <c r="C185" s="469"/>
      <c r="D185" s="106">
        <v>176</v>
      </c>
      <c r="E185" s="106" t="s">
        <v>232</v>
      </c>
      <c r="F185" s="120"/>
      <c r="G185" s="120"/>
      <c r="H185" s="120"/>
      <c r="I185" s="120"/>
      <c r="J185" s="116">
        <f t="shared" si="15"/>
        <v>0</v>
      </c>
      <c r="K185" s="120"/>
      <c r="L185" s="120"/>
      <c r="M185" s="120"/>
      <c r="N185" s="120"/>
      <c r="O185" s="120"/>
      <c r="P185" s="116">
        <f t="shared" si="16"/>
        <v>0</v>
      </c>
      <c r="Q185" s="121"/>
      <c r="R185" s="121">
        <v>7</v>
      </c>
      <c r="S185" s="121"/>
      <c r="T185" s="121">
        <v>12.234</v>
      </c>
      <c r="U185" s="120"/>
      <c r="V185" s="120"/>
      <c r="W185" s="117"/>
      <c r="X185" s="117">
        <f t="shared" si="2"/>
        <v>19.234000000000002</v>
      </c>
      <c r="Y185" s="135" t="s">
        <v>682</v>
      </c>
    </row>
    <row r="186" spans="1:25" ht="31.5" hidden="1">
      <c r="A186" s="469"/>
      <c r="B186" s="469"/>
      <c r="C186" s="469"/>
      <c r="D186" s="106">
        <v>177</v>
      </c>
      <c r="E186" s="106" t="s">
        <v>233</v>
      </c>
      <c r="F186" s="120"/>
      <c r="G186" s="120"/>
      <c r="H186" s="120"/>
      <c r="I186" s="120"/>
      <c r="J186" s="116">
        <f t="shared" si="15"/>
        <v>0</v>
      </c>
      <c r="K186" s="120"/>
      <c r="L186" s="120"/>
      <c r="M186" s="120"/>
      <c r="N186" s="120"/>
      <c r="O186" s="120"/>
      <c r="P186" s="116">
        <f t="shared" si="16"/>
        <v>0</v>
      </c>
      <c r="Q186" s="120"/>
      <c r="R186" s="120"/>
      <c r="S186" s="120"/>
      <c r="T186" s="120"/>
      <c r="U186" s="120"/>
      <c r="V186" s="120"/>
      <c r="W186" s="117"/>
      <c r="X186" s="117">
        <f t="shared" si="2"/>
        <v>0</v>
      </c>
      <c r="Y186" s="135"/>
    </row>
    <row r="187" spans="1:25" ht="141.75">
      <c r="A187" s="469"/>
      <c r="B187" s="476" t="s">
        <v>283</v>
      </c>
      <c r="C187" s="476" t="s">
        <v>284</v>
      </c>
      <c r="D187" s="106">
        <v>178</v>
      </c>
      <c r="E187" s="106" t="s">
        <v>285</v>
      </c>
      <c r="F187" s="120"/>
      <c r="G187" s="120"/>
      <c r="H187" s="120"/>
      <c r="I187" s="120"/>
      <c r="J187" s="116">
        <f t="shared" si="15"/>
        <v>0</v>
      </c>
      <c r="K187" s="120"/>
      <c r="L187" s="120"/>
      <c r="M187" s="120"/>
      <c r="N187" s="120"/>
      <c r="O187" s="120"/>
      <c r="P187" s="116">
        <f t="shared" si="16"/>
        <v>0</v>
      </c>
      <c r="Q187" s="120"/>
      <c r="R187" s="120"/>
      <c r="S187" s="120"/>
      <c r="T187" s="120"/>
      <c r="U187" s="120"/>
      <c r="V187" s="120"/>
      <c r="W187" s="117"/>
      <c r="X187" s="117">
        <f t="shared" si="2"/>
        <v>0</v>
      </c>
      <c r="Y187" s="97" t="s">
        <v>345</v>
      </c>
    </row>
    <row r="188" spans="1:25" ht="15.75">
      <c r="A188" s="469"/>
      <c r="B188" s="469"/>
      <c r="C188" s="469"/>
      <c r="D188" s="106">
        <v>179</v>
      </c>
      <c r="E188" s="106" t="s">
        <v>125</v>
      </c>
      <c r="F188" s="120"/>
      <c r="G188" s="120"/>
      <c r="H188" s="120"/>
      <c r="I188" s="120"/>
      <c r="J188" s="116">
        <f t="shared" si="15"/>
        <v>0</v>
      </c>
      <c r="K188" s="120"/>
      <c r="L188" s="120"/>
      <c r="M188" s="120"/>
      <c r="N188" s="120"/>
      <c r="O188" s="120"/>
      <c r="P188" s="116">
        <f t="shared" si="16"/>
        <v>0</v>
      </c>
      <c r="Q188" s="120"/>
      <c r="R188" s="120"/>
      <c r="S188" s="120"/>
      <c r="T188" s="120"/>
      <c r="U188" s="120"/>
      <c r="V188" s="120"/>
      <c r="W188" s="117"/>
      <c r="X188" s="117">
        <f t="shared" si="2"/>
        <v>0</v>
      </c>
      <c r="Y188" s="252"/>
    </row>
    <row r="189" spans="1:25" ht="47.25">
      <c r="A189" s="469"/>
      <c r="B189" s="469"/>
      <c r="C189" s="469"/>
      <c r="D189" s="106">
        <v>180</v>
      </c>
      <c r="E189" s="106" t="s">
        <v>286</v>
      </c>
      <c r="F189" s="120"/>
      <c r="G189" s="120"/>
      <c r="H189" s="120"/>
      <c r="I189" s="120"/>
      <c r="J189" s="116">
        <f t="shared" si="15"/>
        <v>0</v>
      </c>
      <c r="K189" s="120"/>
      <c r="L189" s="120"/>
      <c r="M189" s="120"/>
      <c r="N189" s="120"/>
      <c r="O189" s="122"/>
      <c r="P189" s="117">
        <f t="shared" si="16"/>
        <v>0</v>
      </c>
      <c r="Q189" s="120"/>
      <c r="R189" s="120"/>
      <c r="S189" s="121"/>
      <c r="T189" s="121"/>
      <c r="U189" s="120"/>
      <c r="V189" s="120"/>
      <c r="W189" s="117"/>
      <c r="X189" s="117">
        <f t="shared" si="2"/>
        <v>0</v>
      </c>
      <c r="Y189" s="252"/>
    </row>
    <row r="190" spans="1:25" ht="47.25">
      <c r="A190" s="469"/>
      <c r="B190" s="469"/>
      <c r="C190" s="469"/>
      <c r="D190" s="106">
        <v>181</v>
      </c>
      <c r="E190" s="106" t="s">
        <v>287</v>
      </c>
      <c r="F190" s="120"/>
      <c r="G190" s="120"/>
      <c r="H190" s="120"/>
      <c r="I190" s="120"/>
      <c r="J190" s="116">
        <f t="shared" si="15"/>
        <v>0</v>
      </c>
      <c r="K190" s="120"/>
      <c r="L190" s="120"/>
      <c r="M190" s="120"/>
      <c r="N190" s="120"/>
      <c r="O190" s="120"/>
      <c r="P190" s="116">
        <f t="shared" si="16"/>
        <v>0</v>
      </c>
      <c r="Q190" s="120"/>
      <c r="R190" s="120"/>
      <c r="S190" s="120"/>
      <c r="T190" s="120"/>
      <c r="U190" s="120"/>
      <c r="V190" s="120"/>
      <c r="W190" s="117"/>
      <c r="X190" s="117">
        <f t="shared" si="2"/>
        <v>0</v>
      </c>
      <c r="Y190" s="252"/>
    </row>
    <row r="191" spans="1:25" ht="47.25">
      <c r="A191" s="469"/>
      <c r="B191" s="469"/>
      <c r="C191" s="469"/>
      <c r="D191" s="106">
        <v>182</v>
      </c>
      <c r="E191" s="106" t="s">
        <v>288</v>
      </c>
      <c r="F191" s="120"/>
      <c r="G191" s="120"/>
      <c r="H191" s="120"/>
      <c r="I191" s="120"/>
      <c r="J191" s="116">
        <f t="shared" si="15"/>
        <v>0</v>
      </c>
      <c r="K191" s="120"/>
      <c r="L191" s="120"/>
      <c r="M191" s="120"/>
      <c r="N191" s="120"/>
      <c r="O191" s="120"/>
      <c r="P191" s="116">
        <f t="shared" si="16"/>
        <v>0</v>
      </c>
      <c r="Q191" s="120"/>
      <c r="R191" s="120"/>
      <c r="S191" s="122"/>
      <c r="T191" s="155">
        <f>(3*0.6*6)</f>
        <v>10.799999999999999</v>
      </c>
      <c r="U191" s="120"/>
      <c r="V191" s="120"/>
      <c r="W191" s="117"/>
      <c r="X191" s="117">
        <f t="shared" si="2"/>
        <v>10.799999999999999</v>
      </c>
      <c r="Y191" s="224" t="s">
        <v>709</v>
      </c>
    </row>
    <row r="192" spans="1:25" ht="63" hidden="1">
      <c r="A192" s="469"/>
      <c r="B192" s="469"/>
      <c r="C192" s="469"/>
      <c r="D192" s="106">
        <v>183</v>
      </c>
      <c r="E192" s="106" t="s">
        <v>289</v>
      </c>
      <c r="F192" s="120"/>
      <c r="G192" s="120"/>
      <c r="H192" s="120"/>
      <c r="I192" s="120"/>
      <c r="J192" s="116">
        <f t="shared" si="15"/>
        <v>0</v>
      </c>
      <c r="K192" s="120"/>
      <c r="L192" s="120"/>
      <c r="M192" s="120"/>
      <c r="N192" s="120"/>
      <c r="O192" s="120"/>
      <c r="P192" s="116">
        <f t="shared" si="16"/>
        <v>0</v>
      </c>
      <c r="Q192" s="120"/>
      <c r="R192" s="120"/>
      <c r="S192" s="121"/>
      <c r="T192" s="121"/>
      <c r="U192" s="120"/>
      <c r="V192" s="120"/>
      <c r="W192" s="117"/>
      <c r="X192" s="117">
        <f t="shared" si="2"/>
        <v>0</v>
      </c>
      <c r="Y192" s="252"/>
    </row>
    <row r="193" spans="1:25" ht="78.75">
      <c r="A193" s="469"/>
      <c r="B193" s="106" t="s">
        <v>290</v>
      </c>
      <c r="C193" s="106" t="s">
        <v>291</v>
      </c>
      <c r="D193" s="106">
        <v>184</v>
      </c>
      <c r="E193" s="106" t="s">
        <v>292</v>
      </c>
      <c r="F193" s="120"/>
      <c r="G193" s="120"/>
      <c r="H193" s="120"/>
      <c r="I193" s="120"/>
      <c r="J193" s="116">
        <f t="shared" si="15"/>
        <v>0</v>
      </c>
      <c r="K193" s="120"/>
      <c r="L193" s="120"/>
      <c r="M193" s="120"/>
      <c r="N193" s="120"/>
      <c r="O193" s="120"/>
      <c r="P193" s="116">
        <f t="shared" si="16"/>
        <v>0</v>
      </c>
      <c r="Q193" s="120"/>
      <c r="R193" s="120"/>
      <c r="S193" s="122"/>
      <c r="T193" s="122"/>
      <c r="U193" s="120"/>
      <c r="V193" s="120"/>
      <c r="W193" s="117"/>
      <c r="X193" s="117">
        <f t="shared" si="2"/>
        <v>0</v>
      </c>
      <c r="Y193" s="252"/>
    </row>
    <row r="194" spans="1:25" ht="31.5">
      <c r="A194" s="469"/>
      <c r="B194" s="476" t="s">
        <v>293</v>
      </c>
      <c r="C194" s="476" t="s">
        <v>235</v>
      </c>
      <c r="D194" s="106">
        <v>185</v>
      </c>
      <c r="E194" s="106" t="s">
        <v>236</v>
      </c>
      <c r="F194" s="120"/>
      <c r="G194" s="120"/>
      <c r="H194" s="120"/>
      <c r="I194" s="120"/>
      <c r="J194" s="116">
        <f t="shared" si="15"/>
        <v>0</v>
      </c>
      <c r="K194" s="120"/>
      <c r="L194" s="120"/>
      <c r="M194" s="120"/>
      <c r="N194" s="120"/>
      <c r="O194" s="120"/>
      <c r="P194" s="116">
        <f t="shared" si="16"/>
        <v>0</v>
      </c>
      <c r="Q194" s="120"/>
      <c r="R194" s="120"/>
      <c r="S194" s="120"/>
      <c r="T194" s="150">
        <v>1896.2682848000002</v>
      </c>
      <c r="U194" s="120"/>
      <c r="V194" s="120"/>
      <c r="W194" s="117"/>
      <c r="X194" s="117">
        <f t="shared" si="2"/>
        <v>1896.2682848000002</v>
      </c>
      <c r="Y194" s="98" t="s">
        <v>992</v>
      </c>
    </row>
    <row r="195" spans="1:25" ht="252">
      <c r="A195" s="469"/>
      <c r="B195" s="469"/>
      <c r="C195" s="469"/>
      <c r="D195" s="106">
        <v>186</v>
      </c>
      <c r="E195" s="106" t="s">
        <v>237</v>
      </c>
      <c r="F195" s="118">
        <v>0.24149999999999999</v>
      </c>
      <c r="G195" s="120"/>
      <c r="H195" s="120"/>
      <c r="I195" s="120"/>
      <c r="J195" s="116">
        <f t="shared" si="15"/>
        <v>0</v>
      </c>
      <c r="K195" s="120"/>
      <c r="L195" s="120"/>
      <c r="M195" s="120"/>
      <c r="N195" s="120"/>
      <c r="O195" s="120"/>
      <c r="P195" s="116">
        <f t="shared" si="16"/>
        <v>0</v>
      </c>
      <c r="Q195" s="120"/>
      <c r="R195" s="120"/>
      <c r="S195" s="121"/>
      <c r="T195" s="121">
        <f>5.6+37.56</f>
        <v>43.160000000000004</v>
      </c>
      <c r="U195" s="120"/>
      <c r="V195" s="120"/>
      <c r="W195" s="117"/>
      <c r="X195" s="117">
        <f t="shared" si="2"/>
        <v>43.401500000000006</v>
      </c>
      <c r="Y195" s="97" t="s">
        <v>967</v>
      </c>
    </row>
    <row r="196" spans="1:25" ht="31.5">
      <c r="A196" s="469"/>
      <c r="B196" s="469"/>
      <c r="C196" s="469"/>
      <c r="D196" s="106">
        <v>187</v>
      </c>
      <c r="E196" s="106" t="s">
        <v>294</v>
      </c>
      <c r="F196" s="120"/>
      <c r="G196" s="120"/>
      <c r="H196" s="120"/>
      <c r="I196" s="120"/>
      <c r="J196" s="116">
        <f t="shared" si="15"/>
        <v>0</v>
      </c>
      <c r="K196" s="120"/>
      <c r="L196" s="120"/>
      <c r="M196" s="120"/>
      <c r="N196" s="120"/>
      <c r="O196" s="120"/>
      <c r="P196" s="116">
        <f t="shared" si="16"/>
        <v>0</v>
      </c>
      <c r="Q196" s="120"/>
      <c r="R196" s="120"/>
      <c r="S196" s="120"/>
      <c r="T196" s="120">
        <v>707.04899999999998</v>
      </c>
      <c r="U196" s="120"/>
      <c r="V196" s="120"/>
      <c r="W196" s="117"/>
      <c r="X196" s="117">
        <f t="shared" si="2"/>
        <v>707.04899999999998</v>
      </c>
      <c r="Y196" s="98" t="s">
        <v>993</v>
      </c>
    </row>
    <row r="197" spans="1:25" ht="31.5">
      <c r="A197" s="469"/>
      <c r="B197" s="469"/>
      <c r="C197" s="469"/>
      <c r="D197" s="106">
        <v>188</v>
      </c>
      <c r="E197" s="106" t="s">
        <v>238</v>
      </c>
      <c r="F197" s="120"/>
      <c r="G197" s="120"/>
      <c r="H197" s="120"/>
      <c r="I197" s="120"/>
      <c r="J197" s="116">
        <f t="shared" si="15"/>
        <v>0</v>
      </c>
      <c r="K197" s="120"/>
      <c r="L197" s="120"/>
      <c r="M197" s="120"/>
      <c r="N197" s="120"/>
      <c r="O197" s="120"/>
      <c r="P197" s="116">
        <f t="shared" si="16"/>
        <v>0</v>
      </c>
      <c r="Q197" s="120"/>
      <c r="R197" s="120"/>
      <c r="S197" s="120"/>
      <c r="T197" s="120"/>
      <c r="U197" s="120"/>
      <c r="V197" s="120"/>
      <c r="W197" s="117"/>
      <c r="X197" s="117">
        <f t="shared" si="2"/>
        <v>0</v>
      </c>
      <c r="Y197" s="97"/>
    </row>
    <row r="198" spans="1:25" ht="47.25">
      <c r="A198" s="469"/>
      <c r="B198" s="469"/>
      <c r="C198" s="469"/>
      <c r="D198" s="106">
        <v>189</v>
      </c>
      <c r="E198" s="106" t="s">
        <v>295</v>
      </c>
      <c r="F198" s="120"/>
      <c r="G198" s="120"/>
      <c r="H198" s="120"/>
      <c r="I198" s="120"/>
      <c r="J198" s="116">
        <f t="shared" si="15"/>
        <v>0</v>
      </c>
      <c r="K198" s="120"/>
      <c r="L198" s="120"/>
      <c r="M198" s="120"/>
      <c r="N198" s="120"/>
      <c r="O198" s="120"/>
      <c r="P198" s="116">
        <f t="shared" si="16"/>
        <v>0</v>
      </c>
      <c r="Q198" s="120"/>
      <c r="R198" s="120"/>
      <c r="S198" s="120"/>
      <c r="T198" s="120"/>
      <c r="U198" s="120"/>
      <c r="V198" s="120"/>
      <c r="W198" s="117"/>
      <c r="X198" s="117">
        <f t="shared" si="2"/>
        <v>0</v>
      </c>
      <c r="Y198" s="97"/>
    </row>
    <row r="199" spans="1:25" ht="63" hidden="1">
      <c r="A199" s="469"/>
      <c r="B199" s="469"/>
      <c r="C199" s="469"/>
      <c r="D199" s="106">
        <v>190</v>
      </c>
      <c r="E199" s="106" t="s">
        <v>296</v>
      </c>
      <c r="F199" s="120"/>
      <c r="G199" s="120"/>
      <c r="H199" s="120"/>
      <c r="I199" s="120"/>
      <c r="J199" s="116">
        <f t="shared" si="15"/>
        <v>0</v>
      </c>
      <c r="K199" s="120"/>
      <c r="L199" s="120"/>
      <c r="M199" s="120"/>
      <c r="N199" s="120"/>
      <c r="O199" s="120"/>
      <c r="P199" s="116">
        <f t="shared" si="16"/>
        <v>0</v>
      </c>
      <c r="Q199" s="120"/>
      <c r="R199" s="120"/>
      <c r="S199" s="121"/>
      <c r="T199" s="121"/>
      <c r="U199" s="120"/>
      <c r="V199" s="120"/>
      <c r="W199" s="117"/>
      <c r="X199" s="117">
        <f t="shared" si="2"/>
        <v>0</v>
      </c>
      <c r="Y199" s="97"/>
    </row>
    <row r="200" spans="1:25" ht="47.25">
      <c r="A200" s="469"/>
      <c r="B200" s="476" t="s">
        <v>297</v>
      </c>
      <c r="C200" s="476" t="s">
        <v>298</v>
      </c>
      <c r="D200" s="106">
        <v>191</v>
      </c>
      <c r="E200" s="106" t="s">
        <v>299</v>
      </c>
      <c r="F200" s="120"/>
      <c r="G200" s="120"/>
      <c r="H200" s="120"/>
      <c r="I200" s="120"/>
      <c r="J200" s="116">
        <f t="shared" si="15"/>
        <v>0</v>
      </c>
      <c r="K200" s="120"/>
      <c r="L200" s="120"/>
      <c r="M200" s="120"/>
      <c r="N200" s="120"/>
      <c r="O200" s="120"/>
      <c r="P200" s="116">
        <f t="shared" si="16"/>
        <v>0</v>
      </c>
      <c r="Q200" s="120"/>
      <c r="R200" s="120"/>
      <c r="S200" s="120"/>
      <c r="T200" s="120"/>
      <c r="U200" s="120"/>
      <c r="V200" s="120"/>
      <c r="W200" s="117"/>
      <c r="X200" s="117">
        <f t="shared" si="2"/>
        <v>0</v>
      </c>
      <c r="Y200" s="135"/>
    </row>
    <row r="201" spans="1:25" ht="47.25">
      <c r="A201" s="469"/>
      <c r="B201" s="469"/>
      <c r="C201" s="469"/>
      <c r="D201" s="106">
        <v>192</v>
      </c>
      <c r="E201" s="106" t="s">
        <v>300</v>
      </c>
      <c r="F201" s="120"/>
      <c r="G201" s="120"/>
      <c r="H201" s="120"/>
      <c r="I201" s="121"/>
      <c r="J201" s="125">
        <f t="shared" si="15"/>
        <v>0</v>
      </c>
      <c r="K201" s="120"/>
      <c r="L201" s="120"/>
      <c r="M201" s="120"/>
      <c r="N201" s="120"/>
      <c r="O201" s="120"/>
      <c r="P201" s="116">
        <f t="shared" si="16"/>
        <v>0</v>
      </c>
      <c r="Q201" s="120"/>
      <c r="R201" s="120"/>
      <c r="S201" s="122"/>
      <c r="T201" s="122"/>
      <c r="U201" s="120"/>
      <c r="V201" s="120"/>
      <c r="W201" s="117"/>
      <c r="X201" s="117">
        <f t="shared" si="2"/>
        <v>0</v>
      </c>
      <c r="Y201" s="135"/>
    </row>
    <row r="202" spans="1:25" ht="47.25">
      <c r="A202" s="469"/>
      <c r="B202" s="476" t="s">
        <v>301</v>
      </c>
      <c r="C202" s="476" t="s">
        <v>241</v>
      </c>
      <c r="D202" s="106">
        <v>193</v>
      </c>
      <c r="E202" s="106" t="s">
        <v>302</v>
      </c>
      <c r="F202" s="120"/>
      <c r="G202" s="120"/>
      <c r="H202" s="120"/>
      <c r="I202" s="120"/>
      <c r="J202" s="116">
        <f t="shared" si="15"/>
        <v>0</v>
      </c>
      <c r="K202" s="120"/>
      <c r="L202" s="120"/>
      <c r="M202" s="120"/>
      <c r="N202" s="120"/>
      <c r="O202" s="120"/>
      <c r="P202" s="116">
        <f t="shared" si="16"/>
        <v>0</v>
      </c>
      <c r="Q202" s="120"/>
      <c r="R202" s="120"/>
      <c r="S202" s="122"/>
      <c r="T202" s="122"/>
      <c r="U202" s="121"/>
      <c r="V202" s="121"/>
      <c r="W202" s="117"/>
      <c r="X202" s="117">
        <f t="shared" si="2"/>
        <v>0</v>
      </c>
      <c r="Y202" s="97"/>
    </row>
    <row r="203" spans="1:25" ht="47.25">
      <c r="A203" s="469"/>
      <c r="B203" s="469"/>
      <c r="C203" s="469"/>
      <c r="D203" s="106">
        <v>194</v>
      </c>
      <c r="E203" s="106" t="s">
        <v>242</v>
      </c>
      <c r="F203" s="120"/>
      <c r="G203" s="120"/>
      <c r="H203" s="120"/>
      <c r="I203" s="120"/>
      <c r="J203" s="116">
        <f t="shared" si="15"/>
        <v>0</v>
      </c>
      <c r="K203" s="120"/>
      <c r="L203" s="120"/>
      <c r="M203" s="120"/>
      <c r="N203" s="120"/>
      <c r="O203" s="120"/>
      <c r="P203" s="116">
        <f t="shared" si="16"/>
        <v>0</v>
      </c>
      <c r="Q203" s="120"/>
      <c r="R203" s="120"/>
      <c r="S203" s="120"/>
      <c r="T203" s="120">
        <v>84.47</v>
      </c>
      <c r="U203" s="120"/>
      <c r="V203" s="120"/>
      <c r="W203" s="117"/>
      <c r="X203" s="117">
        <f t="shared" si="2"/>
        <v>84.47</v>
      </c>
      <c r="Y203" s="98" t="s">
        <v>1221</v>
      </c>
    </row>
    <row r="204" spans="1:25" ht="63">
      <c r="A204" s="469"/>
      <c r="B204" s="476" t="s">
        <v>303</v>
      </c>
      <c r="C204" s="476" t="s">
        <v>304</v>
      </c>
      <c r="D204" s="106">
        <v>195</v>
      </c>
      <c r="E204" s="106" t="s">
        <v>305</v>
      </c>
      <c r="F204" s="120"/>
      <c r="G204" s="120"/>
      <c r="H204" s="120"/>
      <c r="I204" s="120"/>
      <c r="J204" s="116">
        <f t="shared" si="15"/>
        <v>0</v>
      </c>
      <c r="K204" s="120"/>
      <c r="L204" s="120"/>
      <c r="M204" s="120"/>
      <c r="N204" s="120"/>
      <c r="O204" s="120"/>
      <c r="P204" s="116">
        <f t="shared" si="16"/>
        <v>0</v>
      </c>
      <c r="Q204" s="120"/>
      <c r="R204" s="120"/>
      <c r="S204" s="122"/>
      <c r="T204" s="122"/>
      <c r="U204" s="120"/>
      <c r="V204" s="120"/>
      <c r="W204" s="117"/>
      <c r="X204" s="117">
        <f t="shared" si="2"/>
        <v>0</v>
      </c>
      <c r="Y204" s="97"/>
    </row>
    <row r="205" spans="1:25" ht="31.5">
      <c r="A205" s="469"/>
      <c r="B205" s="469"/>
      <c r="C205" s="469"/>
      <c r="D205" s="106">
        <v>196</v>
      </c>
      <c r="E205" s="106" t="s">
        <v>306</v>
      </c>
      <c r="F205" s="120"/>
      <c r="G205" s="120"/>
      <c r="H205" s="120"/>
      <c r="I205" s="120"/>
      <c r="J205" s="116">
        <f t="shared" si="15"/>
        <v>0</v>
      </c>
      <c r="K205" s="120"/>
      <c r="L205" s="120"/>
      <c r="M205" s="120"/>
      <c r="N205" s="120"/>
      <c r="O205" s="120"/>
      <c r="P205" s="116">
        <f t="shared" si="16"/>
        <v>0</v>
      </c>
      <c r="Q205" s="120"/>
      <c r="R205" s="120"/>
      <c r="S205" s="120"/>
      <c r="T205" s="120"/>
      <c r="U205" s="120"/>
      <c r="V205" s="120"/>
      <c r="W205" s="117"/>
      <c r="X205" s="117">
        <f t="shared" si="2"/>
        <v>0</v>
      </c>
      <c r="Y205" s="97"/>
    </row>
    <row r="206" spans="1:25" ht="31.5">
      <c r="A206" s="469"/>
      <c r="B206" s="469"/>
      <c r="C206" s="469"/>
      <c r="D206" s="106">
        <v>197</v>
      </c>
      <c r="E206" s="106" t="s">
        <v>307</v>
      </c>
      <c r="F206" s="135"/>
      <c r="G206" s="135"/>
      <c r="H206" s="135"/>
      <c r="I206" s="135"/>
      <c r="J206" s="116">
        <f t="shared" si="15"/>
        <v>0</v>
      </c>
      <c r="K206" s="135"/>
      <c r="L206" s="135"/>
      <c r="M206" s="135"/>
      <c r="N206" s="135"/>
      <c r="O206" s="135"/>
      <c r="P206" s="116">
        <f t="shared" si="16"/>
        <v>0</v>
      </c>
      <c r="Q206" s="135"/>
      <c r="R206" s="135"/>
      <c r="S206" s="170"/>
      <c r="T206" s="170"/>
      <c r="U206" s="129"/>
      <c r="V206" s="129"/>
      <c r="W206" s="171"/>
      <c r="X206" s="117">
        <f t="shared" si="2"/>
        <v>0</v>
      </c>
      <c r="Y206" s="97"/>
    </row>
    <row r="207" spans="1:25" ht="78.75">
      <c r="A207" s="469"/>
      <c r="B207" s="106" t="s">
        <v>308</v>
      </c>
      <c r="C207" s="106" t="s">
        <v>246</v>
      </c>
      <c r="D207" s="106">
        <v>198</v>
      </c>
      <c r="E207" s="106" t="s">
        <v>247</v>
      </c>
      <c r="F207" s="120"/>
      <c r="G207" s="120"/>
      <c r="H207" s="120"/>
      <c r="I207" s="120"/>
      <c r="J207" s="116">
        <f t="shared" si="15"/>
        <v>0</v>
      </c>
      <c r="K207" s="120"/>
      <c r="L207" s="120"/>
      <c r="M207" s="120"/>
      <c r="N207" s="120"/>
      <c r="O207" s="120"/>
      <c r="P207" s="116">
        <f t="shared" si="16"/>
        <v>0</v>
      </c>
      <c r="Q207" s="120"/>
      <c r="R207" s="120"/>
      <c r="S207" s="120"/>
      <c r="T207" s="120"/>
      <c r="U207" s="120"/>
      <c r="V207" s="120"/>
      <c r="W207" s="117"/>
      <c r="X207" s="117">
        <f t="shared" si="2"/>
        <v>0</v>
      </c>
      <c r="Y207" s="97"/>
    </row>
    <row r="208" spans="1:25" ht="31.5">
      <c r="A208" s="469"/>
      <c r="B208" s="106" t="s">
        <v>309</v>
      </c>
      <c r="C208" s="106" t="s">
        <v>249</v>
      </c>
      <c r="D208" s="106">
        <v>199</v>
      </c>
      <c r="E208" s="106" t="s">
        <v>250</v>
      </c>
      <c r="F208" s="151"/>
      <c r="G208" s="151"/>
      <c r="H208" s="151"/>
      <c r="I208" s="151"/>
      <c r="J208" s="116">
        <f t="shared" si="15"/>
        <v>0</v>
      </c>
      <c r="K208" s="151"/>
      <c r="L208" s="151"/>
      <c r="M208" s="151"/>
      <c r="N208" s="151"/>
      <c r="O208" s="151"/>
      <c r="P208" s="116">
        <f t="shared" si="16"/>
        <v>0</v>
      </c>
      <c r="Q208" s="151"/>
      <c r="R208" s="151"/>
      <c r="S208" s="151"/>
      <c r="T208" s="151">
        <v>59.9</v>
      </c>
      <c r="U208" s="151"/>
      <c r="V208" s="151"/>
      <c r="W208" s="117"/>
      <c r="X208" s="117">
        <f t="shared" si="2"/>
        <v>59.9</v>
      </c>
      <c r="Y208" s="98" t="s">
        <v>980</v>
      </c>
    </row>
    <row r="209" spans="1:25" ht="47.25">
      <c r="A209" s="469"/>
      <c r="B209" s="106" t="s">
        <v>310</v>
      </c>
      <c r="C209" s="172" t="s">
        <v>311</v>
      </c>
      <c r="D209" s="106">
        <v>200</v>
      </c>
      <c r="E209" s="106" t="s">
        <v>312</v>
      </c>
      <c r="F209" s="173"/>
      <c r="G209" s="173"/>
      <c r="H209" s="173"/>
      <c r="I209" s="173"/>
      <c r="J209" s="116">
        <f t="shared" si="15"/>
        <v>0</v>
      </c>
      <c r="K209" s="173"/>
      <c r="L209" s="173"/>
      <c r="M209" s="173"/>
      <c r="N209" s="173"/>
      <c r="O209" s="173"/>
      <c r="P209" s="116">
        <f t="shared" si="16"/>
        <v>0</v>
      </c>
      <c r="Q209" s="173"/>
      <c r="R209" s="173"/>
      <c r="S209" s="173"/>
      <c r="T209" s="173"/>
      <c r="U209" s="173"/>
      <c r="V209" s="173"/>
      <c r="W209" s="117"/>
      <c r="X209" s="117">
        <f t="shared" si="2"/>
        <v>0</v>
      </c>
      <c r="Y209" s="135"/>
    </row>
    <row r="210" spans="1:25" ht="110.25">
      <c r="A210" s="469"/>
      <c r="B210" s="174" t="s">
        <v>313</v>
      </c>
      <c r="C210" s="174" t="s">
        <v>314</v>
      </c>
      <c r="D210" s="175">
        <v>201</v>
      </c>
      <c r="E210" s="176" t="s">
        <v>315</v>
      </c>
      <c r="F210" s="173"/>
      <c r="G210" s="173"/>
      <c r="H210" s="173"/>
      <c r="I210" s="173"/>
      <c r="J210" s="116">
        <f t="shared" si="15"/>
        <v>0</v>
      </c>
      <c r="K210" s="173"/>
      <c r="L210" s="173"/>
      <c r="M210" s="173"/>
      <c r="N210" s="173"/>
      <c r="O210" s="173"/>
      <c r="P210" s="116">
        <f t="shared" si="16"/>
        <v>0</v>
      </c>
      <c r="Q210" s="173"/>
      <c r="R210" s="173"/>
      <c r="S210" s="173"/>
      <c r="T210" s="173">
        <v>36.754199999999997</v>
      </c>
      <c r="U210" s="173"/>
      <c r="V210" s="173"/>
      <c r="W210" s="117"/>
      <c r="X210" s="117">
        <f t="shared" si="2"/>
        <v>36.754199999999997</v>
      </c>
      <c r="Y210" s="173" t="s">
        <v>1162</v>
      </c>
    </row>
    <row r="211" spans="1:25" ht="94.5">
      <c r="A211" s="469"/>
      <c r="B211" s="174" t="s">
        <v>316</v>
      </c>
      <c r="C211" s="174" t="s">
        <v>317</v>
      </c>
      <c r="D211" s="175">
        <v>202</v>
      </c>
      <c r="E211" s="176" t="s">
        <v>318</v>
      </c>
      <c r="F211" s="173"/>
      <c r="G211" s="173"/>
      <c r="H211" s="173"/>
      <c r="I211" s="173"/>
      <c r="J211" s="116">
        <f t="shared" si="15"/>
        <v>0</v>
      </c>
      <c r="K211" s="173"/>
      <c r="L211" s="173"/>
      <c r="M211" s="173"/>
      <c r="N211" s="173"/>
      <c r="O211" s="173"/>
      <c r="P211" s="116">
        <f t="shared" si="16"/>
        <v>0</v>
      </c>
      <c r="Q211" s="173"/>
      <c r="R211" s="173"/>
      <c r="S211" s="173"/>
      <c r="T211" s="173">
        <v>514.62909999999999</v>
      </c>
      <c r="U211" s="173"/>
      <c r="V211" s="173"/>
      <c r="W211" s="117"/>
      <c r="X211" s="117">
        <f t="shared" si="2"/>
        <v>514.62909999999999</v>
      </c>
      <c r="Y211" s="173" t="s">
        <v>559</v>
      </c>
    </row>
    <row r="212" spans="1:25" ht="141.75">
      <c r="A212" s="469"/>
      <c r="B212" s="174" t="s">
        <v>319</v>
      </c>
      <c r="C212" s="174" t="s">
        <v>320</v>
      </c>
      <c r="D212" s="175">
        <v>203</v>
      </c>
      <c r="E212" s="176" t="s">
        <v>321</v>
      </c>
      <c r="F212" s="173"/>
      <c r="G212" s="173"/>
      <c r="H212" s="173"/>
      <c r="I212" s="173"/>
      <c r="J212" s="116">
        <f t="shared" si="15"/>
        <v>0</v>
      </c>
      <c r="K212" s="173"/>
      <c r="L212" s="173"/>
      <c r="M212" s="173"/>
      <c r="N212" s="173"/>
      <c r="O212" s="173"/>
      <c r="P212" s="116">
        <f t="shared" si="16"/>
        <v>0</v>
      </c>
      <c r="Q212" s="173"/>
      <c r="R212" s="173"/>
      <c r="S212" s="173"/>
      <c r="T212" s="173"/>
      <c r="U212" s="173"/>
      <c r="V212" s="173"/>
      <c r="W212" s="117"/>
      <c r="X212" s="117">
        <f t="shared" si="2"/>
        <v>0</v>
      </c>
      <c r="Y212" s="97"/>
    </row>
    <row r="213" spans="1:25" ht="78.75">
      <c r="A213" s="469"/>
      <c r="B213" s="174" t="s">
        <v>322</v>
      </c>
      <c r="C213" s="174" t="s">
        <v>323</v>
      </c>
      <c r="D213" s="175">
        <v>204</v>
      </c>
      <c r="E213" s="176" t="s">
        <v>324</v>
      </c>
      <c r="F213" s="173"/>
      <c r="G213" s="173"/>
      <c r="H213" s="173"/>
      <c r="I213" s="173"/>
      <c r="J213" s="116">
        <f t="shared" si="15"/>
        <v>0</v>
      </c>
      <c r="K213" s="173"/>
      <c r="L213" s="173"/>
      <c r="M213" s="173"/>
      <c r="N213" s="173"/>
      <c r="O213" s="173"/>
      <c r="P213" s="116">
        <f t="shared" si="16"/>
        <v>0</v>
      </c>
      <c r="Q213" s="173"/>
      <c r="R213" s="173"/>
      <c r="S213" s="173"/>
      <c r="T213" s="264">
        <v>20.045200000000001</v>
      </c>
      <c r="U213" s="173"/>
      <c r="V213" s="173"/>
      <c r="W213" s="117"/>
      <c r="X213" s="178">
        <f t="shared" si="2"/>
        <v>20.045200000000001</v>
      </c>
      <c r="Y213" s="173" t="s">
        <v>676</v>
      </c>
    </row>
    <row r="214" spans="1:25" ht="47.25">
      <c r="A214" s="469"/>
      <c r="B214" s="174" t="s">
        <v>326</v>
      </c>
      <c r="C214" s="174" t="s">
        <v>291</v>
      </c>
      <c r="D214" s="175">
        <v>205</v>
      </c>
      <c r="E214" s="176" t="s">
        <v>327</v>
      </c>
      <c r="F214" s="173"/>
      <c r="G214" s="173"/>
      <c r="H214" s="173"/>
      <c r="I214" s="173"/>
      <c r="J214" s="116">
        <f t="shared" si="15"/>
        <v>0</v>
      </c>
      <c r="K214" s="173"/>
      <c r="L214" s="173">
        <v>0</v>
      </c>
      <c r="M214" s="173"/>
      <c r="N214" s="173"/>
      <c r="O214" s="173"/>
      <c r="P214" s="116">
        <f t="shared" si="16"/>
        <v>0</v>
      </c>
      <c r="Q214" s="173"/>
      <c r="R214" s="173"/>
      <c r="S214" s="173"/>
      <c r="T214" s="173"/>
      <c r="U214" s="173"/>
      <c r="V214" s="173"/>
      <c r="W214" s="117"/>
      <c r="X214" s="117">
        <f t="shared" si="2"/>
        <v>0</v>
      </c>
      <c r="Y214" s="97"/>
    </row>
    <row r="215" spans="1:25" ht="47.25">
      <c r="A215" s="469"/>
      <c r="B215" s="174" t="s">
        <v>329</v>
      </c>
      <c r="C215" s="174" t="s">
        <v>246</v>
      </c>
      <c r="D215" s="175">
        <v>206</v>
      </c>
      <c r="E215" s="176" t="s">
        <v>330</v>
      </c>
      <c r="F215" s="173"/>
      <c r="G215" s="173"/>
      <c r="H215" s="173"/>
      <c r="I215" s="173"/>
      <c r="J215" s="116">
        <f t="shared" si="15"/>
        <v>0</v>
      </c>
      <c r="K215" s="173"/>
      <c r="L215" s="173"/>
      <c r="M215" s="173"/>
      <c r="N215" s="173"/>
      <c r="O215" s="173"/>
      <c r="P215" s="116">
        <f t="shared" si="16"/>
        <v>0</v>
      </c>
      <c r="Q215" s="173"/>
      <c r="R215" s="173"/>
      <c r="S215" s="173"/>
      <c r="T215" s="173"/>
      <c r="U215" s="173"/>
      <c r="V215" s="173"/>
      <c r="W215" s="117"/>
      <c r="X215" s="117">
        <f t="shared" si="2"/>
        <v>0</v>
      </c>
      <c r="Y215" s="97" t="s">
        <v>346</v>
      </c>
    </row>
    <row r="216" spans="1:25" s="110" customFormat="1" ht="31.5" customHeight="1">
      <c r="A216" s="469"/>
      <c r="B216" s="478" t="s">
        <v>331</v>
      </c>
      <c r="C216" s="479"/>
      <c r="D216" s="479"/>
      <c r="E216" s="99"/>
      <c r="F216" s="100">
        <f t="shared" ref="F216:W216" si="17">SUM(F159:F215)</f>
        <v>0.24149999999999999</v>
      </c>
      <c r="G216" s="101">
        <f t="shared" si="17"/>
        <v>0</v>
      </c>
      <c r="H216" s="101">
        <f t="shared" si="17"/>
        <v>180</v>
      </c>
      <c r="I216" s="101">
        <f t="shared" si="17"/>
        <v>0</v>
      </c>
      <c r="J216" s="101">
        <f t="shared" si="17"/>
        <v>180</v>
      </c>
      <c r="K216" s="100">
        <f t="shared" si="17"/>
        <v>0</v>
      </c>
      <c r="L216" s="100">
        <f t="shared" si="17"/>
        <v>0</v>
      </c>
      <c r="M216" s="100">
        <f t="shared" si="17"/>
        <v>0</v>
      </c>
      <c r="N216" s="100">
        <f t="shared" si="17"/>
        <v>0</v>
      </c>
      <c r="O216" s="100">
        <f t="shared" si="17"/>
        <v>0</v>
      </c>
      <c r="P216" s="100">
        <f t="shared" si="17"/>
        <v>0</v>
      </c>
      <c r="Q216" s="100">
        <f t="shared" si="17"/>
        <v>0</v>
      </c>
      <c r="R216" s="100">
        <f t="shared" si="17"/>
        <v>7</v>
      </c>
      <c r="S216" s="101">
        <f t="shared" si="17"/>
        <v>0</v>
      </c>
      <c r="T216" s="101">
        <f t="shared" si="17"/>
        <v>3461.2617848</v>
      </c>
      <c r="U216" s="100">
        <f t="shared" si="17"/>
        <v>0</v>
      </c>
      <c r="V216" s="100">
        <f t="shared" si="17"/>
        <v>0</v>
      </c>
      <c r="W216" s="102">
        <f t="shared" si="17"/>
        <v>0</v>
      </c>
      <c r="X216" s="100">
        <f t="shared" si="2"/>
        <v>3648.5032848000001</v>
      </c>
      <c r="Y216" s="100"/>
    </row>
    <row r="217" spans="1:25" ht="32.25" customHeight="1">
      <c r="A217" s="480" t="s">
        <v>332</v>
      </c>
      <c r="B217" s="469"/>
      <c r="C217" s="469"/>
      <c r="D217" s="469"/>
      <c r="E217" s="103"/>
      <c r="F217" s="104">
        <f t="shared" ref="F217:W217" si="18">F216+F158+F134+F93+F68</f>
        <v>84.604690000000005</v>
      </c>
      <c r="G217" s="105">
        <f t="shared" si="18"/>
        <v>0</v>
      </c>
      <c r="H217" s="105">
        <f t="shared" si="18"/>
        <v>180</v>
      </c>
      <c r="I217" s="105">
        <f t="shared" si="18"/>
        <v>6.65</v>
      </c>
      <c r="J217" s="105">
        <f t="shared" si="18"/>
        <v>186.65</v>
      </c>
      <c r="K217" s="104">
        <f t="shared" si="18"/>
        <v>0</v>
      </c>
      <c r="L217" s="104">
        <f t="shared" si="18"/>
        <v>20.761970000000002</v>
      </c>
      <c r="M217" s="104">
        <f t="shared" si="18"/>
        <v>0</v>
      </c>
      <c r="N217" s="104">
        <f t="shared" si="18"/>
        <v>0</v>
      </c>
      <c r="O217" s="104">
        <f t="shared" si="18"/>
        <v>46.122100000000003</v>
      </c>
      <c r="P217" s="104">
        <f t="shared" si="18"/>
        <v>46.122100000000003</v>
      </c>
      <c r="Q217" s="104">
        <f t="shared" si="18"/>
        <v>0</v>
      </c>
      <c r="R217" s="104">
        <f t="shared" si="18"/>
        <v>50.446599999999997</v>
      </c>
      <c r="S217" s="105">
        <f t="shared" si="18"/>
        <v>0</v>
      </c>
      <c r="T217" s="105">
        <f t="shared" si="18"/>
        <v>4133.2369847999998</v>
      </c>
      <c r="U217" s="104">
        <f t="shared" si="18"/>
        <v>0</v>
      </c>
      <c r="V217" s="104">
        <f t="shared" si="18"/>
        <v>2.7</v>
      </c>
      <c r="W217" s="104">
        <f t="shared" si="18"/>
        <v>0</v>
      </c>
      <c r="X217" s="104">
        <f t="shared" si="2"/>
        <v>4524.5223447999997</v>
      </c>
      <c r="Y217" s="266"/>
    </row>
    <row r="218" spans="1:25" ht="15.7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Y218" s="39"/>
    </row>
    <row r="219" spans="1:25" ht="15.7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240"/>
      <c r="Y219" s="39"/>
    </row>
    <row r="220" spans="1:25" ht="15.7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9"/>
    </row>
    <row r="221" spans="1:25" ht="15.7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row>
    <row r="222" spans="1:25" ht="15.7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15.7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91"/>
      <c r="Y223" s="39"/>
    </row>
    <row r="224" spans="1:25" ht="15.7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15.7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15.7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15.7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15.7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15.7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15.7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15.7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15.7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row r="973" spans="1:25" ht="15.75"/>
    <row r="974" spans="1:25" ht="15.75"/>
    <row r="975" spans="1:25" ht="15.75"/>
    <row r="976" spans="1:25" ht="15.75"/>
    <row r="977" ht="15.75"/>
    <row r="978" ht="15.75"/>
    <row r="979" ht="15.75"/>
    <row r="980" ht="15.75"/>
    <row r="981" ht="15.75"/>
    <row r="982" ht="15.75"/>
    <row r="983" ht="15.75"/>
    <row r="984" ht="15.75"/>
    <row r="985" ht="15.75"/>
    <row r="986" ht="15.75"/>
    <row r="987" ht="15.75"/>
    <row r="988" ht="15.75"/>
    <row r="989" ht="15.75"/>
    <row r="990" ht="15.75"/>
    <row r="991" ht="15.75"/>
    <row r="992" ht="15.75"/>
    <row r="993" ht="15.75"/>
    <row r="994" ht="15.75"/>
    <row r="995" ht="15.75"/>
    <row r="996" ht="15.75"/>
    <row r="997" ht="15.75"/>
    <row r="998" ht="15.75"/>
    <row r="999" ht="15.75"/>
    <row r="1000" ht="15.75"/>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Z998"/>
  <sheetViews>
    <sheetView workbookViewId="0">
      <pane xSplit="5" ySplit="5" topLeftCell="F200" activePane="bottomRight" state="frozen"/>
      <selection pane="topRight" activeCell="F1" sqref="F1"/>
      <selection pane="bottomLeft" activeCell="A6" sqref="A6"/>
      <selection pane="bottomRight" activeCell="Y203" sqref="Y203"/>
    </sheetView>
  </sheetViews>
  <sheetFormatPr defaultColWidth="14.42578125" defaultRowHeight="15" customHeight="1"/>
  <cols>
    <col min="1" max="1" width="5.140625" style="111" customWidth="1"/>
    <col min="2" max="2" width="7" style="111" customWidth="1"/>
    <col min="3" max="3" width="11.42578125" style="111" customWidth="1"/>
    <col min="4" max="4" width="8.140625" style="111" customWidth="1"/>
    <col min="5" max="5" width="25.42578125" style="111" customWidth="1"/>
    <col min="6" max="6" width="9.28515625" style="111" customWidth="1"/>
    <col min="7" max="7" width="7.5703125" style="111" hidden="1" customWidth="1"/>
    <col min="8" max="8" width="10.28515625" style="111" customWidth="1"/>
    <col min="9" max="9" width="8.140625" style="111" customWidth="1"/>
    <col min="10" max="10" width="9.7109375" style="111" customWidth="1"/>
    <col min="11" max="11" width="8.42578125" style="111" hidden="1" customWidth="1"/>
    <col min="12" max="12" width="12.5703125" style="111" customWidth="1"/>
    <col min="13" max="13" width="15.7109375" style="111" hidden="1" customWidth="1"/>
    <col min="14" max="14" width="11.42578125" style="111" customWidth="1"/>
    <col min="15" max="15" width="10.140625" style="111" customWidth="1"/>
    <col min="16" max="16" width="9.28515625" style="111" customWidth="1"/>
    <col min="17" max="17" width="12.85546875" style="111" hidden="1" customWidth="1"/>
    <col min="18" max="18" width="9.5703125" style="111" customWidth="1"/>
    <col min="19" max="19" width="16.5703125" style="111" hidden="1" customWidth="1"/>
    <col min="20" max="20" width="11.28515625" style="111" customWidth="1"/>
    <col min="21" max="21" width="17" style="111" hidden="1" customWidth="1"/>
    <col min="22" max="22" width="9.85546875" style="111" customWidth="1"/>
    <col min="23" max="23" width="9.140625" style="111" hidden="1" customWidth="1"/>
    <col min="24" max="24" width="9.42578125" style="111" customWidth="1"/>
    <col min="25" max="25" width="48.140625" style="157" customWidth="1"/>
    <col min="26" max="16384" width="14.42578125" style="111"/>
  </cols>
  <sheetData>
    <row r="1" spans="1:25" ht="20.25" customHeight="1">
      <c r="A1" s="94"/>
      <c r="E1" s="474" t="s">
        <v>558</v>
      </c>
      <c r="F1" s="475"/>
      <c r="G1" s="475"/>
      <c r="H1" s="475"/>
      <c r="I1" s="475"/>
      <c r="J1" s="475"/>
      <c r="K1" s="475"/>
      <c r="L1" s="475"/>
      <c r="M1" s="273"/>
      <c r="N1" s="273"/>
      <c r="O1" s="273"/>
      <c r="P1" s="273"/>
      <c r="Q1" s="273"/>
      <c r="R1" s="273"/>
      <c r="S1" s="273"/>
      <c r="T1" s="273"/>
      <c r="U1" s="273"/>
      <c r="V1" s="273"/>
      <c r="W1" s="273"/>
      <c r="X1" s="273"/>
    </row>
    <row r="2" spans="1:25" ht="10.5" customHeight="1">
      <c r="A2" s="94"/>
      <c r="B2" s="94"/>
      <c r="C2" s="94"/>
      <c r="D2" s="94"/>
      <c r="E2" s="94"/>
      <c r="F2" s="94"/>
      <c r="G2" s="94"/>
      <c r="H2" s="94"/>
      <c r="I2" s="94"/>
      <c r="J2" s="94"/>
      <c r="K2" s="94"/>
      <c r="L2" s="273"/>
      <c r="M2" s="273"/>
      <c r="N2" s="273"/>
      <c r="O2" s="273"/>
      <c r="P2" s="273"/>
      <c r="Q2" s="273"/>
      <c r="R2" s="273"/>
      <c r="S2" s="273"/>
      <c r="T2" s="273"/>
      <c r="U2" s="273"/>
      <c r="V2" s="273"/>
      <c r="W2" s="273"/>
      <c r="X2" s="273"/>
    </row>
    <row r="3" spans="1:25" ht="22.5" customHeight="1">
      <c r="A3" s="94"/>
      <c r="B3" s="274"/>
      <c r="C3" s="274"/>
      <c r="D3" s="274"/>
      <c r="E3" s="275" t="s">
        <v>348</v>
      </c>
      <c r="F3" s="274"/>
      <c r="G3" s="274"/>
      <c r="H3" s="274"/>
      <c r="I3" s="274"/>
      <c r="J3" s="274"/>
      <c r="K3" s="274"/>
      <c r="L3" s="276"/>
      <c r="M3" s="276"/>
      <c r="N3" s="276"/>
      <c r="O3" s="276"/>
      <c r="P3" s="276"/>
      <c r="Q3" s="276"/>
      <c r="R3" s="276"/>
      <c r="S3" s="276"/>
      <c r="T3" s="276"/>
      <c r="U3" s="276"/>
      <c r="V3" s="276"/>
      <c r="W3" s="276"/>
      <c r="X3" s="483" t="s">
        <v>2</v>
      </c>
      <c r="Y3" s="471"/>
    </row>
    <row r="4" spans="1:25" ht="105.75" customHeight="1">
      <c r="A4" s="482" t="s">
        <v>3</v>
      </c>
      <c r="B4" s="482" t="s">
        <v>4</v>
      </c>
      <c r="C4" s="482" t="s">
        <v>5</v>
      </c>
      <c r="D4" s="482" t="s">
        <v>6</v>
      </c>
      <c r="E4" s="482" t="s">
        <v>7</v>
      </c>
      <c r="F4" s="482" t="s">
        <v>8</v>
      </c>
      <c r="G4" s="469"/>
      <c r="H4" s="482" t="s">
        <v>9</v>
      </c>
      <c r="I4" s="469"/>
      <c r="J4" s="469"/>
      <c r="K4" s="469"/>
      <c r="L4" s="482" t="s">
        <v>10</v>
      </c>
      <c r="M4" s="469"/>
      <c r="N4" s="482" t="s">
        <v>11</v>
      </c>
      <c r="O4" s="469"/>
      <c r="P4" s="469"/>
      <c r="Q4" s="469"/>
      <c r="R4" s="482" t="s">
        <v>12</v>
      </c>
      <c r="S4" s="469"/>
      <c r="T4" s="469" t="s">
        <v>13</v>
      </c>
      <c r="U4" s="469"/>
      <c r="V4" s="277" t="s">
        <v>14</v>
      </c>
      <c r="W4" s="271"/>
      <c r="X4" s="277" t="s">
        <v>15</v>
      </c>
      <c r="Y4" s="468" t="s">
        <v>16</v>
      </c>
    </row>
    <row r="5" spans="1:25" ht="112.5" customHeight="1">
      <c r="A5" s="469"/>
      <c r="B5" s="469"/>
      <c r="C5" s="469"/>
      <c r="D5" s="469"/>
      <c r="E5" s="469"/>
      <c r="F5" s="277" t="s">
        <v>17</v>
      </c>
      <c r="G5" s="277" t="s">
        <v>16</v>
      </c>
      <c r="H5" s="277" t="s">
        <v>18</v>
      </c>
      <c r="I5" s="277" t="s">
        <v>19</v>
      </c>
      <c r="J5" s="277" t="s">
        <v>20</v>
      </c>
      <c r="K5" s="277" t="s">
        <v>16</v>
      </c>
      <c r="L5" s="277" t="s">
        <v>17</v>
      </c>
      <c r="M5" s="277" t="s">
        <v>349</v>
      </c>
      <c r="N5" s="277" t="s">
        <v>1199</v>
      </c>
      <c r="O5" s="277" t="s">
        <v>21</v>
      </c>
      <c r="P5" s="277" t="s">
        <v>22</v>
      </c>
      <c r="Q5" s="277" t="s">
        <v>16</v>
      </c>
      <c r="R5" s="277" t="s">
        <v>17</v>
      </c>
      <c r="S5" s="277" t="s">
        <v>16</v>
      </c>
      <c r="T5" s="277" t="s">
        <v>17</v>
      </c>
      <c r="U5" s="277" t="s">
        <v>16</v>
      </c>
      <c r="V5" s="277" t="s">
        <v>17</v>
      </c>
      <c r="W5" s="277" t="s">
        <v>16</v>
      </c>
      <c r="X5" s="277" t="s">
        <v>23</v>
      </c>
      <c r="Y5" s="481"/>
    </row>
    <row r="6" spans="1:25" ht="39" customHeight="1">
      <c r="A6" s="485" t="s">
        <v>24</v>
      </c>
      <c r="B6" s="484" t="s">
        <v>25</v>
      </c>
      <c r="C6" s="484" t="s">
        <v>26</v>
      </c>
      <c r="D6" s="174">
        <v>1</v>
      </c>
      <c r="E6" s="180" t="s">
        <v>27</v>
      </c>
      <c r="F6" s="271"/>
      <c r="G6" s="271"/>
      <c r="H6" s="271"/>
      <c r="I6" s="271"/>
      <c r="J6" s="278">
        <f t="shared" ref="J6:J15" si="0">H6+I6</f>
        <v>0</v>
      </c>
      <c r="K6" s="271"/>
      <c r="L6" s="279"/>
      <c r="M6" s="280"/>
      <c r="N6" s="279"/>
      <c r="O6" s="279"/>
      <c r="P6" s="279"/>
      <c r="Q6" s="280"/>
      <c r="R6" s="279"/>
      <c r="S6" s="280"/>
      <c r="T6" s="279"/>
      <c r="U6" s="280"/>
      <c r="V6" s="279"/>
      <c r="W6" s="281"/>
      <c r="X6" s="117">
        <f t="shared" ref="X6:X217" si="1">F6+J6+L6+P6+R6+T6+V6</f>
        <v>0</v>
      </c>
      <c r="Y6" s="252"/>
    </row>
    <row r="7" spans="1:25" ht="34.5" customHeight="1">
      <c r="A7" s="469"/>
      <c r="B7" s="469"/>
      <c r="C7" s="469"/>
      <c r="D7" s="174">
        <v>2</v>
      </c>
      <c r="E7" s="223" t="s">
        <v>28</v>
      </c>
      <c r="F7" s="271"/>
      <c r="G7" s="271"/>
      <c r="H7" s="271"/>
      <c r="I7" s="271"/>
      <c r="J7" s="278">
        <f t="shared" si="0"/>
        <v>0</v>
      </c>
      <c r="K7" s="271"/>
      <c r="L7" s="279"/>
      <c r="M7" s="280"/>
      <c r="N7" s="279"/>
      <c r="O7" s="261"/>
      <c r="P7" s="282"/>
      <c r="Q7" s="279"/>
      <c r="R7" s="279"/>
      <c r="S7" s="283"/>
      <c r="T7" s="284"/>
      <c r="U7" s="280"/>
      <c r="V7" s="279"/>
      <c r="W7" s="281"/>
      <c r="X7" s="117">
        <f t="shared" si="1"/>
        <v>0</v>
      </c>
      <c r="Y7" s="252"/>
    </row>
    <row r="8" spans="1:25" ht="145.5" customHeight="1">
      <c r="A8" s="469"/>
      <c r="B8" s="469"/>
      <c r="C8" s="469"/>
      <c r="D8" s="174">
        <v>3</v>
      </c>
      <c r="E8" s="174" t="s">
        <v>29</v>
      </c>
      <c r="F8" s="161">
        <v>27.971250000000001</v>
      </c>
      <c r="G8" s="271"/>
      <c r="H8" s="271"/>
      <c r="I8" s="271"/>
      <c r="J8" s="278">
        <f t="shared" si="0"/>
        <v>0</v>
      </c>
      <c r="K8" s="271"/>
      <c r="L8" s="279"/>
      <c r="M8" s="280"/>
      <c r="N8" s="279"/>
      <c r="O8" s="279"/>
      <c r="P8" s="279"/>
      <c r="Q8" s="280"/>
      <c r="R8" s="279"/>
      <c r="S8" s="280"/>
      <c r="T8" s="279"/>
      <c r="U8" s="280"/>
      <c r="V8" s="279"/>
      <c r="W8" s="281"/>
      <c r="X8" s="117">
        <f t="shared" si="1"/>
        <v>27.971250000000001</v>
      </c>
      <c r="Y8" s="135" t="s">
        <v>835</v>
      </c>
    </row>
    <row r="9" spans="1:25" ht="393.75">
      <c r="A9" s="469"/>
      <c r="B9" s="469"/>
      <c r="C9" s="469"/>
      <c r="D9" s="174">
        <v>4</v>
      </c>
      <c r="E9" s="174" t="s">
        <v>30</v>
      </c>
      <c r="F9" s="271"/>
      <c r="G9" s="271"/>
      <c r="H9" s="271"/>
      <c r="I9" s="271"/>
      <c r="J9" s="278">
        <f t="shared" si="0"/>
        <v>0</v>
      </c>
      <c r="K9" s="271"/>
      <c r="L9" s="279"/>
      <c r="M9" s="280"/>
      <c r="N9" s="279"/>
      <c r="O9" s="279">
        <v>41.362499999999997</v>
      </c>
      <c r="P9" s="285">
        <f>N9+O9</f>
        <v>41.362499999999997</v>
      </c>
      <c r="Q9" s="281"/>
      <c r="R9" s="261">
        <v>30.556999999999999</v>
      </c>
      <c r="S9" s="283"/>
      <c r="T9" s="286">
        <v>53.715000000000003</v>
      </c>
      <c r="U9" s="280"/>
      <c r="V9" s="279"/>
      <c r="W9" s="281"/>
      <c r="X9" s="117">
        <f t="shared" si="1"/>
        <v>125.6345</v>
      </c>
      <c r="Y9" s="135" t="s">
        <v>836</v>
      </c>
    </row>
    <row r="10" spans="1:25" ht="59.25" customHeight="1">
      <c r="A10" s="469"/>
      <c r="B10" s="469"/>
      <c r="C10" s="469"/>
      <c r="D10" s="174">
        <v>5</v>
      </c>
      <c r="E10" s="174" t="s">
        <v>31</v>
      </c>
      <c r="F10" s="271"/>
      <c r="G10" s="271"/>
      <c r="H10" s="271"/>
      <c r="I10" s="271"/>
      <c r="J10" s="278">
        <f t="shared" si="0"/>
        <v>0</v>
      </c>
      <c r="K10" s="271"/>
      <c r="L10" s="279"/>
      <c r="M10" s="280"/>
      <c r="N10" s="279"/>
      <c r="O10" s="279"/>
      <c r="P10" s="279"/>
      <c r="Q10" s="280"/>
      <c r="R10" s="279"/>
      <c r="S10" s="281"/>
      <c r="T10" s="261">
        <v>28.875</v>
      </c>
      <c r="U10" s="280"/>
      <c r="V10" s="279"/>
      <c r="W10" s="281"/>
      <c r="X10" s="117">
        <f t="shared" si="1"/>
        <v>28.875</v>
      </c>
      <c r="Y10" s="135" t="s">
        <v>837</v>
      </c>
    </row>
    <row r="11" spans="1:25" ht="173.25">
      <c r="A11" s="469"/>
      <c r="B11" s="469"/>
      <c r="C11" s="469"/>
      <c r="D11" s="174">
        <v>6</v>
      </c>
      <c r="E11" s="174" t="s">
        <v>32</v>
      </c>
      <c r="F11" s="140">
        <v>0.59</v>
      </c>
      <c r="G11" s="271"/>
      <c r="H11" s="271"/>
      <c r="I11" s="271"/>
      <c r="J11" s="278">
        <f t="shared" si="0"/>
        <v>0</v>
      </c>
      <c r="K11" s="271"/>
      <c r="L11" s="279"/>
      <c r="M11" s="280"/>
      <c r="N11" s="279"/>
      <c r="O11" s="279"/>
      <c r="P11" s="279"/>
      <c r="Q11" s="279"/>
      <c r="R11" s="279"/>
      <c r="S11" s="283"/>
      <c r="T11" s="286">
        <v>0.72</v>
      </c>
      <c r="U11" s="280"/>
      <c r="V11" s="279"/>
      <c r="W11" s="281"/>
      <c r="X11" s="117">
        <f t="shared" si="1"/>
        <v>1.31</v>
      </c>
      <c r="Y11" s="135" t="s">
        <v>838</v>
      </c>
    </row>
    <row r="12" spans="1:25" ht="31.5">
      <c r="A12" s="469"/>
      <c r="B12" s="469"/>
      <c r="C12" s="469"/>
      <c r="D12" s="174">
        <v>7</v>
      </c>
      <c r="E12" s="174" t="s">
        <v>33</v>
      </c>
      <c r="F12" s="271"/>
      <c r="G12" s="271"/>
      <c r="H12" s="271"/>
      <c r="I12" s="271"/>
      <c r="J12" s="278">
        <f t="shared" si="0"/>
        <v>0</v>
      </c>
      <c r="K12" s="271"/>
      <c r="L12" s="279"/>
      <c r="M12" s="280"/>
      <c r="N12" s="279"/>
      <c r="O12" s="279"/>
      <c r="P12" s="279"/>
      <c r="Q12" s="280"/>
      <c r="R12" s="279"/>
      <c r="S12" s="283"/>
      <c r="T12" s="284"/>
      <c r="U12" s="280"/>
      <c r="V12" s="279"/>
      <c r="W12" s="281"/>
      <c r="X12" s="117">
        <f t="shared" si="1"/>
        <v>0</v>
      </c>
      <c r="Y12" s="135"/>
    </row>
    <row r="13" spans="1:25" ht="24.75" customHeight="1">
      <c r="A13" s="469"/>
      <c r="B13" s="469"/>
      <c r="C13" s="469"/>
      <c r="D13" s="174">
        <v>8</v>
      </c>
      <c r="E13" s="174" t="s">
        <v>34</v>
      </c>
      <c r="F13" s="271"/>
      <c r="G13" s="271"/>
      <c r="H13" s="271"/>
      <c r="I13" s="271"/>
      <c r="J13" s="278">
        <f t="shared" si="0"/>
        <v>0</v>
      </c>
      <c r="K13" s="271"/>
      <c r="L13" s="279"/>
      <c r="M13" s="280"/>
      <c r="N13" s="279"/>
      <c r="O13" s="279"/>
      <c r="P13" s="279"/>
      <c r="Q13" s="280"/>
      <c r="R13" s="279"/>
      <c r="S13" s="280"/>
      <c r="T13" s="279"/>
      <c r="U13" s="280"/>
      <c r="V13" s="279"/>
      <c r="W13" s="281"/>
      <c r="X13" s="117">
        <f t="shared" si="1"/>
        <v>0</v>
      </c>
      <c r="Y13" s="252"/>
    </row>
    <row r="14" spans="1:25" ht="66" customHeight="1">
      <c r="A14" s="469"/>
      <c r="B14" s="469"/>
      <c r="C14" s="469"/>
      <c r="D14" s="174">
        <v>9</v>
      </c>
      <c r="E14" s="174" t="s">
        <v>35</v>
      </c>
      <c r="F14" s="271"/>
      <c r="G14" s="271"/>
      <c r="H14" s="271"/>
      <c r="I14" s="271"/>
      <c r="J14" s="278">
        <f t="shared" si="0"/>
        <v>0</v>
      </c>
      <c r="K14" s="271"/>
      <c r="L14" s="279"/>
      <c r="M14" s="280"/>
      <c r="N14" s="279"/>
      <c r="O14" s="279"/>
      <c r="P14" s="279"/>
      <c r="Q14" s="280"/>
      <c r="R14" s="279"/>
      <c r="S14" s="280"/>
      <c r="T14" s="287">
        <v>0.02</v>
      </c>
      <c r="U14" s="283"/>
      <c r="V14" s="284"/>
      <c r="W14" s="281"/>
      <c r="X14" s="117">
        <f t="shared" si="1"/>
        <v>0.02</v>
      </c>
      <c r="Y14" s="135" t="s">
        <v>821</v>
      </c>
    </row>
    <row r="15" spans="1:25" ht="31.5">
      <c r="A15" s="469"/>
      <c r="B15" s="469"/>
      <c r="C15" s="469"/>
      <c r="D15" s="174">
        <v>10</v>
      </c>
      <c r="E15" s="174" t="s">
        <v>36</v>
      </c>
      <c r="F15" s="271"/>
      <c r="G15" s="271"/>
      <c r="H15" s="271"/>
      <c r="I15" s="271"/>
      <c r="J15" s="278">
        <f t="shared" si="0"/>
        <v>0</v>
      </c>
      <c r="K15" s="288"/>
      <c r="L15" s="282"/>
      <c r="M15" s="280"/>
      <c r="N15" s="279"/>
      <c r="O15" s="279"/>
      <c r="P15" s="279"/>
      <c r="Q15" s="280"/>
      <c r="R15" s="279"/>
      <c r="S15" s="280"/>
      <c r="T15" s="279"/>
      <c r="U15" s="280"/>
      <c r="V15" s="279"/>
      <c r="W15" s="281"/>
      <c r="X15" s="117">
        <f t="shared" si="1"/>
        <v>0</v>
      </c>
      <c r="Y15" s="135"/>
    </row>
    <row r="16" spans="1:25" ht="24.75" customHeight="1">
      <c r="A16" s="469"/>
      <c r="B16" s="469"/>
      <c r="C16" s="469"/>
      <c r="D16" s="174">
        <v>11</v>
      </c>
      <c r="E16" s="174" t="s">
        <v>37</v>
      </c>
      <c r="F16" s="271"/>
      <c r="G16" s="289"/>
      <c r="H16" s="289"/>
      <c r="I16" s="289"/>
      <c r="J16" s="271"/>
      <c r="K16" s="271"/>
      <c r="L16" s="279"/>
      <c r="M16" s="280"/>
      <c r="N16" s="279"/>
      <c r="O16" s="279"/>
      <c r="P16" s="279"/>
      <c r="Q16" s="280"/>
      <c r="R16" s="279"/>
      <c r="S16" s="280"/>
      <c r="T16" s="279"/>
      <c r="U16" s="280"/>
      <c r="V16" s="279"/>
      <c r="W16" s="281"/>
      <c r="X16" s="117">
        <f t="shared" si="1"/>
        <v>0</v>
      </c>
      <c r="Y16" s="252"/>
    </row>
    <row r="17" spans="1:26" ht="15.75">
      <c r="A17" s="469"/>
      <c r="B17" s="469"/>
      <c r="C17" s="469"/>
      <c r="D17" s="174">
        <v>12</v>
      </c>
      <c r="E17" s="174" t="s">
        <v>38</v>
      </c>
      <c r="F17" s="271"/>
      <c r="G17" s="271"/>
      <c r="H17" s="271"/>
      <c r="I17" s="271"/>
      <c r="J17" s="278">
        <f t="shared" ref="J17:J67" si="2">H17+I17</f>
        <v>0</v>
      </c>
      <c r="K17" s="271"/>
      <c r="L17" s="279"/>
      <c r="M17" s="280"/>
      <c r="N17" s="279"/>
      <c r="O17" s="279"/>
      <c r="P17" s="279"/>
      <c r="Q17" s="280"/>
      <c r="R17" s="279"/>
      <c r="S17" s="280"/>
      <c r="T17" s="279"/>
      <c r="U17" s="280"/>
      <c r="V17" s="279"/>
      <c r="W17" s="281"/>
      <c r="X17" s="117">
        <f t="shared" si="1"/>
        <v>0</v>
      </c>
      <c r="Y17" s="135"/>
    </row>
    <row r="18" spans="1:26" ht="24.75" customHeight="1">
      <c r="A18" s="469"/>
      <c r="B18" s="469"/>
      <c r="C18" s="469"/>
      <c r="D18" s="174">
        <v>13</v>
      </c>
      <c r="E18" s="174" t="s">
        <v>39</v>
      </c>
      <c r="F18" s="271"/>
      <c r="G18" s="271"/>
      <c r="H18" s="271"/>
      <c r="I18" s="271"/>
      <c r="J18" s="278">
        <f t="shared" si="2"/>
        <v>0</v>
      </c>
      <c r="K18" s="271"/>
      <c r="L18" s="279"/>
      <c r="M18" s="280"/>
      <c r="N18" s="279"/>
      <c r="O18" s="279"/>
      <c r="P18" s="279"/>
      <c r="Q18" s="280"/>
      <c r="R18" s="279"/>
      <c r="S18" s="283"/>
      <c r="T18" s="284"/>
      <c r="U18" s="280"/>
      <c r="V18" s="279"/>
      <c r="W18" s="281"/>
      <c r="X18" s="117">
        <f t="shared" si="1"/>
        <v>0</v>
      </c>
      <c r="Y18" s="252"/>
    </row>
    <row r="19" spans="1:26" ht="24.75" customHeight="1">
      <c r="A19" s="469"/>
      <c r="B19" s="469"/>
      <c r="C19" s="469"/>
      <c r="D19" s="174">
        <v>14</v>
      </c>
      <c r="E19" s="174" t="s">
        <v>40</v>
      </c>
      <c r="F19" s="271"/>
      <c r="G19" s="271"/>
      <c r="H19" s="271"/>
      <c r="I19" s="271"/>
      <c r="J19" s="278">
        <f t="shared" si="2"/>
        <v>0</v>
      </c>
      <c r="K19" s="271"/>
      <c r="L19" s="279"/>
      <c r="M19" s="280"/>
      <c r="N19" s="279"/>
      <c r="O19" s="279"/>
      <c r="P19" s="279"/>
      <c r="Q19" s="280"/>
      <c r="R19" s="279"/>
      <c r="S19" s="280"/>
      <c r="T19" s="279"/>
      <c r="U19" s="280"/>
      <c r="V19" s="279"/>
      <c r="W19" s="281"/>
      <c r="X19" s="117">
        <f t="shared" si="1"/>
        <v>0</v>
      </c>
      <c r="Y19" s="252"/>
    </row>
    <row r="20" spans="1:26" ht="15.75">
      <c r="A20" s="469"/>
      <c r="B20" s="469"/>
      <c r="C20" s="469"/>
      <c r="D20" s="106">
        <v>15</v>
      </c>
      <c r="E20" s="106" t="s">
        <v>41</v>
      </c>
      <c r="F20" s="252"/>
      <c r="G20" s="252"/>
      <c r="H20" s="252"/>
      <c r="I20" s="252"/>
      <c r="J20" s="116">
        <f t="shared" si="2"/>
        <v>0</v>
      </c>
      <c r="K20" s="290"/>
      <c r="L20" s="291"/>
      <c r="M20" s="292"/>
      <c r="N20" s="292"/>
      <c r="O20" s="292"/>
      <c r="P20" s="292"/>
      <c r="Q20" s="292"/>
      <c r="R20" s="292"/>
      <c r="S20" s="293"/>
      <c r="T20" s="294">
        <v>0</v>
      </c>
      <c r="U20" s="292"/>
      <c r="V20" s="292"/>
      <c r="W20" s="295"/>
      <c r="X20" s="117">
        <f t="shared" si="1"/>
        <v>0</v>
      </c>
      <c r="Y20" s="97"/>
      <c r="Z20" s="157"/>
    </row>
    <row r="21" spans="1:26" ht="36.75" customHeight="1">
      <c r="A21" s="469"/>
      <c r="B21" s="469"/>
      <c r="C21" s="469"/>
      <c r="D21" s="174">
        <v>16</v>
      </c>
      <c r="E21" s="174" t="s">
        <v>42</v>
      </c>
      <c r="F21" s="271"/>
      <c r="G21" s="271"/>
      <c r="H21" s="271"/>
      <c r="I21" s="271"/>
      <c r="J21" s="278">
        <f t="shared" si="2"/>
        <v>0</v>
      </c>
      <c r="K21" s="271"/>
      <c r="L21" s="279"/>
      <c r="M21" s="280"/>
      <c r="N21" s="279"/>
      <c r="O21" s="279"/>
      <c r="P21" s="279"/>
      <c r="Q21" s="280"/>
      <c r="R21" s="279"/>
      <c r="S21" s="280"/>
      <c r="T21" s="279"/>
      <c r="U21" s="280"/>
      <c r="V21" s="279"/>
      <c r="W21" s="281"/>
      <c r="X21" s="117">
        <f t="shared" si="1"/>
        <v>0</v>
      </c>
      <c r="Y21" s="252"/>
    </row>
    <row r="22" spans="1:26" ht="15.75">
      <c r="A22" s="469"/>
      <c r="B22" s="469"/>
      <c r="C22" s="469"/>
      <c r="D22" s="174">
        <v>17</v>
      </c>
      <c r="E22" s="174" t="s">
        <v>43</v>
      </c>
      <c r="F22" s="271"/>
      <c r="G22" s="271"/>
      <c r="H22" s="271"/>
      <c r="I22" s="271"/>
      <c r="J22" s="278">
        <f t="shared" si="2"/>
        <v>0</v>
      </c>
      <c r="K22" s="288"/>
      <c r="L22" s="282"/>
      <c r="M22" s="280"/>
      <c r="N22" s="279"/>
      <c r="O22" s="279"/>
      <c r="P22" s="279"/>
      <c r="Q22" s="280"/>
      <c r="R22" s="285">
        <v>0</v>
      </c>
      <c r="S22" s="283"/>
      <c r="T22" s="286"/>
      <c r="U22" s="283"/>
      <c r="V22" s="284"/>
      <c r="W22" s="281"/>
      <c r="X22" s="117">
        <f t="shared" si="1"/>
        <v>0</v>
      </c>
      <c r="Y22" s="97"/>
    </row>
    <row r="23" spans="1:26" ht="31.5">
      <c r="A23" s="469"/>
      <c r="B23" s="469"/>
      <c r="C23" s="469"/>
      <c r="D23" s="174">
        <v>18</v>
      </c>
      <c r="E23" s="174" t="s">
        <v>44</v>
      </c>
      <c r="F23" s="271"/>
      <c r="G23" s="271"/>
      <c r="H23" s="271"/>
      <c r="I23" s="271"/>
      <c r="J23" s="278">
        <f t="shared" si="2"/>
        <v>0</v>
      </c>
      <c r="K23" s="271"/>
      <c r="L23" s="279"/>
      <c r="M23" s="280"/>
      <c r="N23" s="279"/>
      <c r="O23" s="279"/>
      <c r="P23" s="279"/>
      <c r="Q23" s="280"/>
      <c r="R23" s="279"/>
      <c r="S23" s="283"/>
      <c r="T23" s="286"/>
      <c r="U23" s="283"/>
      <c r="V23" s="284"/>
      <c r="W23" s="281"/>
      <c r="X23" s="117">
        <f t="shared" si="1"/>
        <v>0</v>
      </c>
      <c r="Y23" s="135"/>
    </row>
    <row r="24" spans="1:26" ht="24.75" customHeight="1">
      <c r="A24" s="469"/>
      <c r="B24" s="484" t="s">
        <v>45</v>
      </c>
      <c r="C24" s="484" t="s">
        <v>46</v>
      </c>
      <c r="D24" s="174">
        <v>19</v>
      </c>
      <c r="E24" s="174" t="s">
        <v>46</v>
      </c>
      <c r="F24" s="271"/>
      <c r="G24" s="271"/>
      <c r="H24" s="271"/>
      <c r="I24" s="271"/>
      <c r="J24" s="278">
        <f t="shared" si="2"/>
        <v>0</v>
      </c>
      <c r="K24" s="271"/>
      <c r="L24" s="285">
        <v>0</v>
      </c>
      <c r="M24" s="280"/>
      <c r="N24" s="279"/>
      <c r="O24" s="279"/>
      <c r="P24" s="279"/>
      <c r="Q24" s="280"/>
      <c r="R24" s="279"/>
      <c r="S24" s="280"/>
      <c r="T24" s="279"/>
      <c r="U24" s="280"/>
      <c r="V24" s="279"/>
      <c r="W24" s="281"/>
      <c r="X24" s="117">
        <f t="shared" si="1"/>
        <v>0</v>
      </c>
      <c r="Y24" s="252"/>
    </row>
    <row r="25" spans="1:26" ht="63">
      <c r="A25" s="469"/>
      <c r="B25" s="469"/>
      <c r="C25" s="469"/>
      <c r="D25" s="174">
        <v>20</v>
      </c>
      <c r="E25" s="174" t="s">
        <v>47</v>
      </c>
      <c r="F25" s="271"/>
      <c r="G25" s="271"/>
      <c r="H25" s="271"/>
      <c r="I25" s="271"/>
      <c r="J25" s="278">
        <f t="shared" si="2"/>
        <v>0</v>
      </c>
      <c r="K25" s="271"/>
      <c r="L25" s="279"/>
      <c r="M25" s="280"/>
      <c r="N25" s="279"/>
      <c r="O25" s="279"/>
      <c r="P25" s="279"/>
      <c r="Q25" s="280"/>
      <c r="R25" s="279"/>
      <c r="S25" s="280"/>
      <c r="T25" s="279"/>
      <c r="U25" s="280"/>
      <c r="V25" s="279"/>
      <c r="W25" s="281"/>
      <c r="X25" s="117">
        <f t="shared" si="1"/>
        <v>0</v>
      </c>
      <c r="Y25" s="135"/>
    </row>
    <row r="26" spans="1:26" ht="104.25" customHeight="1">
      <c r="A26" s="469"/>
      <c r="B26" s="484" t="s">
        <v>48</v>
      </c>
      <c r="C26" s="484" t="s">
        <v>49</v>
      </c>
      <c r="D26" s="174">
        <v>21</v>
      </c>
      <c r="E26" s="174" t="s">
        <v>50</v>
      </c>
      <c r="F26" s="271"/>
      <c r="G26" s="271"/>
      <c r="H26" s="271"/>
      <c r="I26" s="289"/>
      <c r="J26" s="296">
        <f t="shared" si="2"/>
        <v>0</v>
      </c>
      <c r="K26" s="288"/>
      <c r="L26" s="297"/>
      <c r="M26" s="280"/>
      <c r="N26" s="279"/>
      <c r="O26" s="282"/>
      <c r="P26" s="282"/>
      <c r="Q26" s="280"/>
      <c r="R26" s="279"/>
      <c r="S26" s="283"/>
      <c r="T26" s="286">
        <f>9.36+5.76+2.988</f>
        <v>18.108000000000001</v>
      </c>
      <c r="U26" s="241"/>
      <c r="V26" s="279"/>
      <c r="W26" s="281"/>
      <c r="X26" s="117">
        <f t="shared" si="1"/>
        <v>18.108000000000001</v>
      </c>
      <c r="Y26" s="135" t="s">
        <v>731</v>
      </c>
    </row>
    <row r="27" spans="1:26" ht="157.5">
      <c r="A27" s="469"/>
      <c r="B27" s="469"/>
      <c r="C27" s="469"/>
      <c r="D27" s="174">
        <v>22</v>
      </c>
      <c r="E27" s="174" t="s">
        <v>52</v>
      </c>
      <c r="F27" s="289"/>
      <c r="G27" s="271"/>
      <c r="H27" s="271"/>
      <c r="I27" s="289"/>
      <c r="J27" s="296">
        <f t="shared" si="2"/>
        <v>0</v>
      </c>
      <c r="K27" s="271"/>
      <c r="L27" s="279">
        <v>7.7763900000000001</v>
      </c>
      <c r="M27" s="115"/>
      <c r="N27" s="279"/>
      <c r="O27" s="279"/>
      <c r="P27" s="279"/>
      <c r="Q27" s="283"/>
      <c r="R27" s="286">
        <v>1</v>
      </c>
      <c r="S27" s="125"/>
      <c r="T27" s="286">
        <f>142.823</f>
        <v>142.82300000000001</v>
      </c>
      <c r="U27" s="180"/>
      <c r="V27" s="279"/>
      <c r="W27" s="281"/>
      <c r="X27" s="117">
        <f t="shared" si="1"/>
        <v>151.59939</v>
      </c>
      <c r="Y27" s="135" t="s">
        <v>732</v>
      </c>
    </row>
    <row r="28" spans="1:26" ht="31.5" customHeight="1">
      <c r="A28" s="469"/>
      <c r="B28" s="469"/>
      <c r="C28" s="469"/>
      <c r="D28" s="174">
        <v>23</v>
      </c>
      <c r="E28" s="174" t="s">
        <v>55</v>
      </c>
      <c r="F28" s="271"/>
      <c r="G28" s="271"/>
      <c r="H28" s="271"/>
      <c r="I28" s="271"/>
      <c r="J28" s="278">
        <f t="shared" si="2"/>
        <v>0</v>
      </c>
      <c r="K28" s="271"/>
      <c r="L28" s="279"/>
      <c r="M28" s="280"/>
      <c r="N28" s="279"/>
      <c r="O28" s="282"/>
      <c r="P28" s="282"/>
      <c r="Q28" s="280"/>
      <c r="R28" s="279"/>
      <c r="S28" s="280"/>
      <c r="T28" s="279"/>
      <c r="U28" s="280"/>
      <c r="V28" s="279"/>
      <c r="W28" s="281"/>
      <c r="X28" s="117">
        <f t="shared" si="1"/>
        <v>0</v>
      </c>
      <c r="Y28" s="135"/>
    </row>
    <row r="29" spans="1:26" ht="189">
      <c r="A29" s="469"/>
      <c r="B29" s="469"/>
      <c r="C29" s="469"/>
      <c r="D29" s="174">
        <v>24</v>
      </c>
      <c r="E29" s="174" t="s">
        <v>56</v>
      </c>
      <c r="F29" s="271"/>
      <c r="G29" s="271"/>
      <c r="H29" s="271"/>
      <c r="I29" s="289"/>
      <c r="J29" s="296">
        <f t="shared" si="2"/>
        <v>0</v>
      </c>
      <c r="K29" s="271"/>
      <c r="L29" s="279"/>
      <c r="M29" s="280"/>
      <c r="N29" s="279"/>
      <c r="O29" s="279"/>
      <c r="P29" s="279"/>
      <c r="Q29" s="280"/>
      <c r="R29" s="279"/>
      <c r="S29" s="280"/>
      <c r="T29" s="285">
        <v>4.4000000000000004</v>
      </c>
      <c r="U29" s="298"/>
      <c r="V29" s="279"/>
      <c r="W29" s="281"/>
      <c r="X29" s="117">
        <f t="shared" si="1"/>
        <v>4.4000000000000004</v>
      </c>
      <c r="Y29" s="135" t="s">
        <v>733</v>
      </c>
    </row>
    <row r="30" spans="1:26" ht="393.75">
      <c r="A30" s="469"/>
      <c r="B30" s="469"/>
      <c r="C30" s="469"/>
      <c r="D30" s="174">
        <v>25</v>
      </c>
      <c r="E30" s="174" t="s">
        <v>57</v>
      </c>
      <c r="F30" s="271"/>
      <c r="G30" s="271"/>
      <c r="H30" s="271"/>
      <c r="I30" s="271"/>
      <c r="J30" s="278">
        <f t="shared" si="2"/>
        <v>0</v>
      </c>
      <c r="K30" s="271"/>
      <c r="L30" s="279"/>
      <c r="M30" s="280"/>
      <c r="N30" s="279"/>
      <c r="O30" s="279"/>
      <c r="P30" s="279"/>
      <c r="Q30" s="280"/>
      <c r="R30" s="279"/>
      <c r="S30" s="280"/>
      <c r="T30" s="285">
        <v>0.6</v>
      </c>
      <c r="U30" s="298"/>
      <c r="V30" s="279"/>
      <c r="W30" s="281"/>
      <c r="X30" s="117">
        <f t="shared" si="1"/>
        <v>0.6</v>
      </c>
      <c r="Y30" s="135" t="s">
        <v>734</v>
      </c>
    </row>
    <row r="31" spans="1:26" ht="15.75">
      <c r="A31" s="469"/>
      <c r="B31" s="469"/>
      <c r="C31" s="469"/>
      <c r="D31" s="174">
        <v>26</v>
      </c>
      <c r="E31" s="174" t="s">
        <v>58</v>
      </c>
      <c r="F31" s="271"/>
      <c r="G31" s="271"/>
      <c r="H31" s="271"/>
      <c r="I31" s="271"/>
      <c r="J31" s="278">
        <f t="shared" si="2"/>
        <v>0</v>
      </c>
      <c r="K31" s="288"/>
      <c r="L31" s="282"/>
      <c r="M31" s="280"/>
      <c r="N31" s="279"/>
      <c r="O31" s="279"/>
      <c r="P31" s="279"/>
      <c r="Q31" s="280"/>
      <c r="R31" s="279"/>
      <c r="S31" s="280"/>
      <c r="T31" s="279"/>
      <c r="U31" s="279" t="s">
        <v>350</v>
      </c>
      <c r="V31" s="279"/>
      <c r="W31" s="281"/>
      <c r="X31" s="117">
        <f t="shared" si="1"/>
        <v>0</v>
      </c>
      <c r="Y31" s="135"/>
    </row>
    <row r="32" spans="1:26" ht="45.75" customHeight="1">
      <c r="A32" s="469"/>
      <c r="B32" s="469"/>
      <c r="C32" s="469"/>
      <c r="D32" s="174">
        <v>27</v>
      </c>
      <c r="E32" s="174" t="s">
        <v>59</v>
      </c>
      <c r="F32" s="271"/>
      <c r="G32" s="271"/>
      <c r="H32" s="271"/>
      <c r="I32" s="289"/>
      <c r="J32" s="296">
        <f t="shared" si="2"/>
        <v>0</v>
      </c>
      <c r="K32" s="288"/>
      <c r="L32" s="282"/>
      <c r="M32" s="280"/>
      <c r="N32" s="279"/>
      <c r="O32" s="279"/>
      <c r="P32" s="279"/>
      <c r="Q32" s="280"/>
      <c r="R32" s="279"/>
      <c r="S32" s="283"/>
      <c r="T32" s="286">
        <v>2</v>
      </c>
      <c r="U32" s="298"/>
      <c r="V32" s="279"/>
      <c r="W32" s="281"/>
      <c r="X32" s="117">
        <f t="shared" si="1"/>
        <v>2</v>
      </c>
      <c r="Y32" s="135" t="s">
        <v>795</v>
      </c>
    </row>
    <row r="33" spans="1:25" ht="50.25" customHeight="1">
      <c r="A33" s="469"/>
      <c r="B33" s="469"/>
      <c r="C33" s="469"/>
      <c r="D33" s="174">
        <v>28</v>
      </c>
      <c r="E33" s="174" t="s">
        <v>30</v>
      </c>
      <c r="F33" s="271"/>
      <c r="G33" s="271"/>
      <c r="H33" s="271"/>
      <c r="I33" s="271"/>
      <c r="J33" s="278">
        <f t="shared" si="2"/>
        <v>0</v>
      </c>
      <c r="K33" s="271"/>
      <c r="L33" s="279"/>
      <c r="M33" s="280"/>
      <c r="N33" s="279"/>
      <c r="O33" s="282">
        <v>3.1187999999999998</v>
      </c>
      <c r="P33" s="297">
        <f>N33+O33</f>
        <v>3.1187999999999998</v>
      </c>
      <c r="Q33" s="97"/>
      <c r="R33" s="282">
        <v>3.1187999999999998</v>
      </c>
      <c r="S33" s="97"/>
      <c r="T33" s="279"/>
      <c r="U33" s="280"/>
      <c r="V33" s="279"/>
      <c r="W33" s="281"/>
      <c r="X33" s="117">
        <f t="shared" si="1"/>
        <v>6.2375999999999996</v>
      </c>
      <c r="Y33" s="135" t="s">
        <v>735</v>
      </c>
    </row>
    <row r="34" spans="1:25" ht="48" customHeight="1">
      <c r="A34" s="469"/>
      <c r="B34" s="469"/>
      <c r="C34" s="469"/>
      <c r="D34" s="174">
        <v>29</v>
      </c>
      <c r="E34" s="174" t="s">
        <v>31</v>
      </c>
      <c r="F34" s="271"/>
      <c r="G34" s="271"/>
      <c r="H34" s="271"/>
      <c r="I34" s="271"/>
      <c r="J34" s="278">
        <f t="shared" si="2"/>
        <v>0</v>
      </c>
      <c r="K34" s="271"/>
      <c r="L34" s="279"/>
      <c r="M34" s="280"/>
      <c r="N34" s="279"/>
      <c r="O34" s="279"/>
      <c r="P34" s="279"/>
      <c r="Q34" s="280"/>
      <c r="R34" s="279"/>
      <c r="S34" s="281"/>
      <c r="T34" s="297">
        <v>10.915800000000001</v>
      </c>
      <c r="U34" s="97"/>
      <c r="V34" s="279"/>
      <c r="W34" s="281"/>
      <c r="X34" s="117">
        <f t="shared" si="1"/>
        <v>10.915800000000001</v>
      </c>
      <c r="Y34" s="252" t="s">
        <v>736</v>
      </c>
    </row>
    <row r="35" spans="1:25" ht="31.5">
      <c r="A35" s="469"/>
      <c r="B35" s="469"/>
      <c r="C35" s="469"/>
      <c r="D35" s="174">
        <v>30</v>
      </c>
      <c r="E35" s="174" t="s">
        <v>60</v>
      </c>
      <c r="F35" s="271"/>
      <c r="G35" s="271"/>
      <c r="H35" s="271"/>
      <c r="I35" s="271"/>
      <c r="J35" s="278">
        <f t="shared" si="2"/>
        <v>0</v>
      </c>
      <c r="K35" s="288"/>
      <c r="L35" s="282"/>
      <c r="M35" s="280"/>
      <c r="N35" s="279"/>
      <c r="O35" s="279"/>
      <c r="P35" s="279"/>
      <c r="Q35" s="280"/>
      <c r="R35" s="279"/>
      <c r="S35" s="280"/>
      <c r="T35" s="279"/>
      <c r="U35" s="280"/>
      <c r="V35" s="279"/>
      <c r="W35" s="281"/>
      <c r="X35" s="117">
        <f t="shared" si="1"/>
        <v>0</v>
      </c>
      <c r="Y35" s="135"/>
    </row>
    <row r="36" spans="1:25" ht="31.5" hidden="1">
      <c r="A36" s="469"/>
      <c r="B36" s="469"/>
      <c r="C36" s="469"/>
      <c r="D36" s="174">
        <v>31</v>
      </c>
      <c r="E36" s="174" t="s">
        <v>44</v>
      </c>
      <c r="F36" s="271"/>
      <c r="G36" s="271"/>
      <c r="H36" s="271"/>
      <c r="I36" s="271"/>
      <c r="J36" s="278">
        <f t="shared" si="2"/>
        <v>0</v>
      </c>
      <c r="K36" s="271"/>
      <c r="L36" s="279"/>
      <c r="M36" s="280"/>
      <c r="N36" s="279"/>
      <c r="O36" s="279"/>
      <c r="P36" s="279"/>
      <c r="Q36" s="280"/>
      <c r="R36" s="279"/>
      <c r="S36" s="280"/>
      <c r="T36" s="279"/>
      <c r="U36" s="280"/>
      <c r="V36" s="279"/>
      <c r="W36" s="281"/>
      <c r="X36" s="117">
        <f t="shared" si="1"/>
        <v>0</v>
      </c>
      <c r="Y36" s="252"/>
    </row>
    <row r="37" spans="1:25" ht="299.25">
      <c r="A37" s="469"/>
      <c r="B37" s="484" t="s">
        <v>61</v>
      </c>
      <c r="C37" s="484" t="s">
        <v>62</v>
      </c>
      <c r="D37" s="174">
        <v>32</v>
      </c>
      <c r="E37" s="174" t="s">
        <v>63</v>
      </c>
      <c r="F37" s="271"/>
      <c r="G37" s="271"/>
      <c r="H37" s="271"/>
      <c r="I37" s="271"/>
      <c r="J37" s="278">
        <f t="shared" si="2"/>
        <v>0</v>
      </c>
      <c r="K37" s="288"/>
      <c r="L37" s="282"/>
      <c r="M37" s="280"/>
      <c r="N37" s="279"/>
      <c r="O37" s="279"/>
      <c r="P37" s="279"/>
      <c r="Q37" s="281"/>
      <c r="R37" s="282"/>
      <c r="S37" s="283"/>
      <c r="T37" s="286">
        <v>12.2094</v>
      </c>
      <c r="U37" s="282"/>
      <c r="V37" s="123"/>
      <c r="W37" s="281"/>
      <c r="X37" s="117">
        <f t="shared" si="1"/>
        <v>12.2094</v>
      </c>
      <c r="Y37" s="135" t="s">
        <v>1165</v>
      </c>
    </row>
    <row r="38" spans="1:25" ht="35.25" customHeight="1">
      <c r="A38" s="469"/>
      <c r="B38" s="469"/>
      <c r="C38" s="469"/>
      <c r="D38" s="174">
        <v>33</v>
      </c>
      <c r="E38" s="174" t="s">
        <v>64</v>
      </c>
      <c r="F38" s="271"/>
      <c r="G38" s="271"/>
      <c r="H38" s="271"/>
      <c r="I38" s="271"/>
      <c r="J38" s="278">
        <f t="shared" si="2"/>
        <v>0</v>
      </c>
      <c r="K38" s="271"/>
      <c r="L38" s="279"/>
      <c r="M38" s="280"/>
      <c r="N38" s="279"/>
      <c r="O38" s="279"/>
      <c r="P38" s="279"/>
      <c r="Q38" s="280"/>
      <c r="R38" s="279"/>
      <c r="S38" s="280"/>
      <c r="T38" s="279"/>
      <c r="U38" s="280"/>
      <c r="V38" s="279"/>
      <c r="W38" s="281"/>
      <c r="X38" s="117">
        <f t="shared" si="1"/>
        <v>0</v>
      </c>
      <c r="Y38" s="252"/>
    </row>
    <row r="39" spans="1:25" ht="39.75" customHeight="1">
      <c r="A39" s="469"/>
      <c r="B39" s="469"/>
      <c r="C39" s="469"/>
      <c r="D39" s="174">
        <v>34</v>
      </c>
      <c r="E39" s="174" t="s">
        <v>65</v>
      </c>
      <c r="F39" s="271"/>
      <c r="G39" s="271"/>
      <c r="H39" s="271"/>
      <c r="I39" s="271"/>
      <c r="J39" s="278">
        <f t="shared" si="2"/>
        <v>0</v>
      </c>
      <c r="K39" s="271"/>
      <c r="L39" s="279"/>
      <c r="M39" s="280"/>
      <c r="N39" s="279"/>
      <c r="O39" s="279"/>
      <c r="P39" s="279"/>
      <c r="Q39" s="280"/>
      <c r="R39" s="279"/>
      <c r="S39" s="283"/>
      <c r="T39" s="284"/>
      <c r="U39" s="280"/>
      <c r="V39" s="279"/>
      <c r="W39" s="281"/>
      <c r="X39" s="117">
        <f t="shared" si="1"/>
        <v>0</v>
      </c>
      <c r="Y39" s="252"/>
    </row>
    <row r="40" spans="1:25" ht="161.25" customHeight="1">
      <c r="A40" s="469"/>
      <c r="B40" s="484" t="s">
        <v>66</v>
      </c>
      <c r="C40" s="484" t="s">
        <v>67</v>
      </c>
      <c r="D40" s="174">
        <v>35</v>
      </c>
      <c r="E40" s="223" t="s">
        <v>68</v>
      </c>
      <c r="F40" s="271"/>
      <c r="G40" s="271"/>
      <c r="H40" s="271"/>
      <c r="I40" s="271"/>
      <c r="J40" s="278">
        <f t="shared" si="2"/>
        <v>0</v>
      </c>
      <c r="K40" s="288"/>
      <c r="L40" s="282"/>
      <c r="M40" s="280"/>
      <c r="N40" s="279"/>
      <c r="O40" s="279"/>
      <c r="P40" s="279"/>
      <c r="Q40" s="280"/>
      <c r="R40" s="279"/>
      <c r="S40" s="283"/>
      <c r="T40" s="299">
        <f>0.84+1.34+0.15</f>
        <v>2.33</v>
      </c>
      <c r="U40" s="280"/>
      <c r="V40" s="279"/>
      <c r="W40" s="281"/>
      <c r="X40" s="117">
        <f t="shared" si="1"/>
        <v>2.33</v>
      </c>
      <c r="Y40" s="135" t="s">
        <v>351</v>
      </c>
    </row>
    <row r="41" spans="1:25" ht="31.5">
      <c r="A41" s="469"/>
      <c r="B41" s="469"/>
      <c r="C41" s="469"/>
      <c r="D41" s="174">
        <v>36</v>
      </c>
      <c r="E41" s="223" t="s">
        <v>70</v>
      </c>
      <c r="F41" s="271"/>
      <c r="G41" s="271"/>
      <c r="H41" s="271"/>
      <c r="I41" s="271"/>
      <c r="J41" s="278">
        <f t="shared" si="2"/>
        <v>0</v>
      </c>
      <c r="K41" s="271"/>
      <c r="L41" s="279"/>
      <c r="M41" s="280"/>
      <c r="N41" s="279"/>
      <c r="O41" s="282"/>
      <c r="P41" s="282"/>
      <c r="Q41" s="280"/>
      <c r="R41" s="279"/>
      <c r="S41" s="280"/>
      <c r="T41" s="279"/>
      <c r="U41" s="280"/>
      <c r="V41" s="279"/>
      <c r="W41" s="281"/>
      <c r="X41" s="117">
        <f t="shared" si="1"/>
        <v>0</v>
      </c>
      <c r="Y41" s="135"/>
    </row>
    <row r="42" spans="1:25" ht="31.5">
      <c r="A42" s="469"/>
      <c r="B42" s="469"/>
      <c r="C42" s="469"/>
      <c r="D42" s="174">
        <v>37</v>
      </c>
      <c r="E42" s="174" t="s">
        <v>71</v>
      </c>
      <c r="F42" s="271"/>
      <c r="G42" s="271"/>
      <c r="H42" s="271"/>
      <c r="I42" s="271"/>
      <c r="J42" s="278">
        <f t="shared" si="2"/>
        <v>0</v>
      </c>
      <c r="K42" s="271"/>
      <c r="L42" s="279"/>
      <c r="M42" s="280"/>
      <c r="N42" s="279"/>
      <c r="O42" s="282"/>
      <c r="P42" s="282"/>
      <c r="Q42" s="280"/>
      <c r="R42" s="279"/>
      <c r="S42" s="280"/>
      <c r="T42" s="279"/>
      <c r="U42" s="280"/>
      <c r="V42" s="279"/>
      <c r="W42" s="281"/>
      <c r="X42" s="117">
        <f t="shared" si="1"/>
        <v>0</v>
      </c>
      <c r="Y42" s="252"/>
    </row>
    <row r="43" spans="1:25" ht="141.75">
      <c r="A43" s="469"/>
      <c r="B43" s="469"/>
      <c r="C43" s="469"/>
      <c r="D43" s="174">
        <v>38</v>
      </c>
      <c r="E43" s="139" t="s">
        <v>72</v>
      </c>
      <c r="F43" s="271"/>
      <c r="G43" s="271"/>
      <c r="H43" s="271"/>
      <c r="I43" s="271"/>
      <c r="J43" s="278">
        <f t="shared" si="2"/>
        <v>0</v>
      </c>
      <c r="K43" s="271"/>
      <c r="L43" s="279"/>
      <c r="M43" s="280"/>
      <c r="N43" s="279"/>
      <c r="O43" s="279"/>
      <c r="P43" s="279"/>
      <c r="Q43" s="280"/>
      <c r="R43" s="279"/>
      <c r="S43" s="283"/>
      <c r="T43" s="299">
        <f>2.61+0.7</f>
        <v>3.3099999999999996</v>
      </c>
      <c r="U43" s="280"/>
      <c r="V43" s="279"/>
      <c r="W43" s="281"/>
      <c r="X43" s="117">
        <f t="shared" si="1"/>
        <v>3.3099999999999996</v>
      </c>
      <c r="Y43" s="135" t="s">
        <v>352</v>
      </c>
    </row>
    <row r="44" spans="1:25" ht="47.25">
      <c r="A44" s="469"/>
      <c r="B44" s="469"/>
      <c r="C44" s="469"/>
      <c r="D44" s="174">
        <v>39</v>
      </c>
      <c r="E44" s="174" t="s">
        <v>74</v>
      </c>
      <c r="F44" s="271"/>
      <c r="G44" s="271"/>
      <c r="H44" s="271"/>
      <c r="I44" s="271"/>
      <c r="J44" s="278">
        <f t="shared" si="2"/>
        <v>0</v>
      </c>
      <c r="K44" s="271"/>
      <c r="L44" s="279"/>
      <c r="M44" s="280"/>
      <c r="N44" s="279"/>
      <c r="O44" s="279"/>
      <c r="P44" s="279"/>
      <c r="Q44" s="280"/>
      <c r="R44" s="279"/>
      <c r="S44" s="283"/>
      <c r="T44" s="299"/>
      <c r="U44" s="280"/>
      <c r="V44" s="279"/>
      <c r="W44" s="281"/>
      <c r="X44" s="117">
        <f t="shared" si="1"/>
        <v>0</v>
      </c>
      <c r="Y44" s="135"/>
    </row>
    <row r="45" spans="1:25" ht="63">
      <c r="A45" s="469"/>
      <c r="B45" s="469"/>
      <c r="C45" s="469"/>
      <c r="D45" s="174">
        <v>40</v>
      </c>
      <c r="E45" s="174" t="s">
        <v>75</v>
      </c>
      <c r="F45" s="271"/>
      <c r="G45" s="271"/>
      <c r="H45" s="271"/>
      <c r="I45" s="271"/>
      <c r="J45" s="278">
        <f t="shared" si="2"/>
        <v>0</v>
      </c>
      <c r="K45" s="271"/>
      <c r="L45" s="279"/>
      <c r="M45" s="280"/>
      <c r="N45" s="279"/>
      <c r="O45" s="279"/>
      <c r="P45" s="279"/>
      <c r="Q45" s="280"/>
      <c r="R45" s="279"/>
      <c r="S45" s="283"/>
      <c r="T45" s="125">
        <f>(500*12*15)/100000</f>
        <v>0.9</v>
      </c>
      <c r="U45" s="280"/>
      <c r="V45" s="279"/>
      <c r="W45" s="281"/>
      <c r="X45" s="117">
        <f t="shared" si="1"/>
        <v>0.9</v>
      </c>
      <c r="Y45" s="97" t="s">
        <v>571</v>
      </c>
    </row>
    <row r="46" spans="1:25" ht="31.5">
      <c r="A46" s="469"/>
      <c r="B46" s="469"/>
      <c r="C46" s="469"/>
      <c r="D46" s="174">
        <v>41</v>
      </c>
      <c r="E46" s="174" t="s">
        <v>44</v>
      </c>
      <c r="F46" s="271"/>
      <c r="G46" s="271"/>
      <c r="H46" s="271"/>
      <c r="I46" s="271"/>
      <c r="J46" s="278">
        <f t="shared" si="2"/>
        <v>0</v>
      </c>
      <c r="K46" s="271"/>
      <c r="L46" s="279"/>
      <c r="M46" s="280"/>
      <c r="N46" s="279"/>
      <c r="O46" s="279"/>
      <c r="P46" s="279"/>
      <c r="Q46" s="280"/>
      <c r="R46" s="279"/>
      <c r="S46" s="280"/>
      <c r="T46" s="279"/>
      <c r="U46" s="280"/>
      <c r="V46" s="279"/>
      <c r="W46" s="281"/>
      <c r="X46" s="117">
        <f t="shared" si="1"/>
        <v>0</v>
      </c>
      <c r="Y46" s="252"/>
    </row>
    <row r="47" spans="1:25" ht="47.25">
      <c r="A47" s="469"/>
      <c r="B47" s="484" t="s">
        <v>76</v>
      </c>
      <c r="C47" s="484" t="s">
        <v>77</v>
      </c>
      <c r="D47" s="174">
        <v>42</v>
      </c>
      <c r="E47" s="174" t="s">
        <v>78</v>
      </c>
      <c r="F47" s="301">
        <v>3.7465000000000002</v>
      </c>
      <c r="G47" s="271"/>
      <c r="H47" s="271"/>
      <c r="I47" s="271"/>
      <c r="J47" s="278">
        <f t="shared" si="2"/>
        <v>0</v>
      </c>
      <c r="K47" s="288"/>
      <c r="L47" s="282"/>
      <c r="M47" s="280"/>
      <c r="N47" s="279"/>
      <c r="O47" s="279"/>
      <c r="P47" s="279"/>
      <c r="Q47" s="280"/>
      <c r="R47" s="279"/>
      <c r="S47" s="283"/>
      <c r="T47" s="284"/>
      <c r="U47" s="280"/>
      <c r="V47" s="279"/>
      <c r="W47" s="281"/>
      <c r="X47" s="117">
        <f t="shared" si="1"/>
        <v>3.7465000000000002</v>
      </c>
      <c r="Y47" s="135" t="s">
        <v>935</v>
      </c>
    </row>
    <row r="48" spans="1:25" ht="35.25" customHeight="1">
      <c r="A48" s="469"/>
      <c r="B48" s="469"/>
      <c r="C48" s="469"/>
      <c r="D48" s="174">
        <v>43</v>
      </c>
      <c r="E48" s="174" t="s">
        <v>79</v>
      </c>
      <c r="F48" s="161">
        <v>0.64500000000000002</v>
      </c>
      <c r="G48" s="271"/>
      <c r="H48" s="271"/>
      <c r="I48" s="271"/>
      <c r="J48" s="278">
        <f t="shared" si="2"/>
        <v>0</v>
      </c>
      <c r="K48" s="288"/>
      <c r="L48" s="282"/>
      <c r="M48" s="280"/>
      <c r="N48" s="279"/>
      <c r="O48" s="279"/>
      <c r="P48" s="279"/>
      <c r="Q48" s="280"/>
      <c r="R48" s="279"/>
      <c r="S48" s="283"/>
      <c r="T48" s="284"/>
      <c r="U48" s="280"/>
      <c r="V48" s="279"/>
      <c r="W48" s="281"/>
      <c r="X48" s="117">
        <f t="shared" si="1"/>
        <v>0.64500000000000002</v>
      </c>
      <c r="Y48" s="135" t="s">
        <v>936</v>
      </c>
    </row>
    <row r="49" spans="1:25" ht="47.25">
      <c r="A49" s="469"/>
      <c r="B49" s="469"/>
      <c r="C49" s="469"/>
      <c r="D49" s="174">
        <v>44</v>
      </c>
      <c r="E49" s="174" t="s">
        <v>80</v>
      </c>
      <c r="F49" s="161">
        <v>0.44700000000000001</v>
      </c>
      <c r="G49" s="271"/>
      <c r="H49" s="271"/>
      <c r="I49" s="271"/>
      <c r="J49" s="278">
        <f t="shared" si="2"/>
        <v>0</v>
      </c>
      <c r="K49" s="288"/>
      <c r="L49" s="282"/>
      <c r="M49" s="280"/>
      <c r="N49" s="279"/>
      <c r="O49" s="279"/>
      <c r="P49" s="279"/>
      <c r="Q49" s="280"/>
      <c r="R49" s="279"/>
      <c r="S49" s="283"/>
      <c r="T49" s="284"/>
      <c r="U49" s="280"/>
      <c r="V49" s="279"/>
      <c r="W49" s="281"/>
      <c r="X49" s="117">
        <f t="shared" si="1"/>
        <v>0.44700000000000001</v>
      </c>
      <c r="Y49" s="135" t="s">
        <v>888</v>
      </c>
    </row>
    <row r="50" spans="1:25" ht="63">
      <c r="A50" s="469"/>
      <c r="B50" s="469"/>
      <c r="C50" s="469"/>
      <c r="D50" s="174">
        <v>45</v>
      </c>
      <c r="E50" s="174" t="s">
        <v>81</v>
      </c>
      <c r="F50" s="161">
        <v>0.10100000000000001</v>
      </c>
      <c r="G50" s="271"/>
      <c r="H50" s="271"/>
      <c r="I50" s="271"/>
      <c r="J50" s="278">
        <f t="shared" si="2"/>
        <v>0</v>
      </c>
      <c r="K50" s="271"/>
      <c r="L50" s="279"/>
      <c r="M50" s="280"/>
      <c r="N50" s="279"/>
      <c r="O50" s="279"/>
      <c r="P50" s="279"/>
      <c r="Q50" s="280"/>
      <c r="R50" s="279"/>
      <c r="S50" s="280"/>
      <c r="T50" s="279"/>
      <c r="U50" s="280"/>
      <c r="V50" s="279"/>
      <c r="W50" s="281"/>
      <c r="X50" s="117">
        <f t="shared" si="1"/>
        <v>0.10100000000000001</v>
      </c>
      <c r="Y50" s="135" t="s">
        <v>889</v>
      </c>
    </row>
    <row r="51" spans="1:25" ht="31.5">
      <c r="A51" s="469"/>
      <c r="B51" s="469"/>
      <c r="C51" s="469"/>
      <c r="D51" s="174">
        <v>46</v>
      </c>
      <c r="E51" s="174" t="s">
        <v>82</v>
      </c>
      <c r="F51" s="271"/>
      <c r="G51" s="271"/>
      <c r="H51" s="271"/>
      <c r="I51" s="271"/>
      <c r="J51" s="278">
        <f t="shared" si="2"/>
        <v>0</v>
      </c>
      <c r="K51" s="271"/>
      <c r="L51" s="279"/>
      <c r="M51" s="280"/>
      <c r="N51" s="279"/>
      <c r="O51" s="279"/>
      <c r="P51" s="279"/>
      <c r="Q51" s="280"/>
      <c r="R51" s="279"/>
      <c r="S51" s="280"/>
      <c r="T51" s="279"/>
      <c r="U51" s="280"/>
      <c r="V51" s="279"/>
      <c r="W51" s="281"/>
      <c r="X51" s="117">
        <f t="shared" si="1"/>
        <v>0</v>
      </c>
      <c r="Y51" s="252"/>
    </row>
    <row r="52" spans="1:25" ht="31.5">
      <c r="A52" s="469"/>
      <c r="B52" s="469"/>
      <c r="C52" s="469"/>
      <c r="D52" s="174">
        <v>47</v>
      </c>
      <c r="E52" s="174" t="s">
        <v>83</v>
      </c>
      <c r="F52" s="161"/>
      <c r="G52" s="271"/>
      <c r="H52" s="271"/>
      <c r="I52" s="271"/>
      <c r="J52" s="278">
        <f t="shared" si="2"/>
        <v>0</v>
      </c>
      <c r="K52" s="271"/>
      <c r="L52" s="279"/>
      <c r="M52" s="280"/>
      <c r="N52" s="279"/>
      <c r="O52" s="279"/>
      <c r="P52" s="279"/>
      <c r="Q52" s="280"/>
      <c r="R52" s="279"/>
      <c r="S52" s="280"/>
      <c r="T52" s="279"/>
      <c r="U52" s="280"/>
      <c r="V52" s="279"/>
      <c r="W52" s="281"/>
      <c r="X52" s="117">
        <f t="shared" si="1"/>
        <v>0</v>
      </c>
      <c r="Y52" s="135"/>
    </row>
    <row r="53" spans="1:25" ht="15.75">
      <c r="A53" s="469"/>
      <c r="B53" s="469"/>
      <c r="C53" s="469"/>
      <c r="D53" s="174">
        <v>48</v>
      </c>
      <c r="E53" s="174" t="s">
        <v>84</v>
      </c>
      <c r="F53" s="271"/>
      <c r="G53" s="271"/>
      <c r="H53" s="271"/>
      <c r="I53" s="271"/>
      <c r="J53" s="278">
        <f t="shared" si="2"/>
        <v>0</v>
      </c>
      <c r="K53" s="271"/>
      <c r="L53" s="279"/>
      <c r="M53" s="280"/>
      <c r="N53" s="279"/>
      <c r="O53" s="279"/>
      <c r="P53" s="279"/>
      <c r="Q53" s="280"/>
      <c r="R53" s="279"/>
      <c r="S53" s="283"/>
      <c r="T53" s="284"/>
      <c r="U53" s="280"/>
      <c r="V53" s="279"/>
      <c r="W53" s="281"/>
      <c r="X53" s="117">
        <f t="shared" si="1"/>
        <v>0</v>
      </c>
      <c r="Y53" s="135"/>
    </row>
    <row r="54" spans="1:25" ht="47.25">
      <c r="A54" s="469"/>
      <c r="B54" s="469"/>
      <c r="C54" s="469"/>
      <c r="D54" s="174">
        <v>49</v>
      </c>
      <c r="E54" s="174" t="s">
        <v>85</v>
      </c>
      <c r="F54" s="271"/>
      <c r="G54" s="271"/>
      <c r="H54" s="271"/>
      <c r="I54" s="271"/>
      <c r="J54" s="278">
        <f t="shared" si="2"/>
        <v>0</v>
      </c>
      <c r="K54" s="271"/>
      <c r="L54" s="279"/>
      <c r="M54" s="280"/>
      <c r="N54" s="279"/>
      <c r="O54" s="279"/>
      <c r="P54" s="279"/>
      <c r="Q54" s="280"/>
      <c r="R54" s="279"/>
      <c r="S54" s="280"/>
      <c r="T54" s="279"/>
      <c r="U54" s="280"/>
      <c r="V54" s="279"/>
      <c r="W54" s="281"/>
      <c r="X54" s="117">
        <f t="shared" si="1"/>
        <v>0</v>
      </c>
      <c r="Y54" s="135"/>
    </row>
    <row r="55" spans="1:25" ht="31.5">
      <c r="A55" s="469"/>
      <c r="B55" s="469"/>
      <c r="C55" s="469"/>
      <c r="D55" s="174">
        <v>50</v>
      </c>
      <c r="E55" s="174" t="s">
        <v>86</v>
      </c>
      <c r="F55" s="271"/>
      <c r="G55" s="271"/>
      <c r="H55" s="271"/>
      <c r="I55" s="271"/>
      <c r="J55" s="278">
        <f t="shared" si="2"/>
        <v>0</v>
      </c>
      <c r="K55" s="288"/>
      <c r="L55" s="282"/>
      <c r="M55" s="280"/>
      <c r="N55" s="279"/>
      <c r="O55" s="279"/>
      <c r="P55" s="302"/>
      <c r="Q55" s="280"/>
      <c r="R55" s="279"/>
      <c r="S55" s="283"/>
      <c r="T55" s="284"/>
      <c r="U55" s="280"/>
      <c r="V55" s="279"/>
      <c r="W55" s="281"/>
      <c r="X55" s="117">
        <f t="shared" si="1"/>
        <v>0</v>
      </c>
      <c r="Y55" s="135"/>
    </row>
    <row r="56" spans="1:25" ht="31.5" hidden="1">
      <c r="A56" s="469"/>
      <c r="B56" s="469"/>
      <c r="C56" s="469"/>
      <c r="D56" s="174">
        <v>51</v>
      </c>
      <c r="E56" s="174" t="s">
        <v>44</v>
      </c>
      <c r="F56" s="271"/>
      <c r="G56" s="271"/>
      <c r="H56" s="271"/>
      <c r="I56" s="271"/>
      <c r="J56" s="278">
        <f t="shared" si="2"/>
        <v>0</v>
      </c>
      <c r="K56" s="271"/>
      <c r="L56" s="279"/>
      <c r="M56" s="280"/>
      <c r="N56" s="279"/>
      <c r="O56" s="279"/>
      <c r="P56" s="279"/>
      <c r="Q56" s="280"/>
      <c r="R56" s="279"/>
      <c r="S56" s="280"/>
      <c r="T56" s="302">
        <v>0</v>
      </c>
      <c r="U56" s="280"/>
      <c r="V56" s="279"/>
      <c r="W56" s="281"/>
      <c r="X56" s="117">
        <f t="shared" si="1"/>
        <v>0</v>
      </c>
      <c r="Y56" s="252"/>
    </row>
    <row r="57" spans="1:25" ht="15.75">
      <c r="A57" s="469"/>
      <c r="B57" s="484" t="s">
        <v>87</v>
      </c>
      <c r="C57" s="484" t="s">
        <v>88</v>
      </c>
      <c r="D57" s="174">
        <v>52</v>
      </c>
      <c r="E57" s="174" t="s">
        <v>89</v>
      </c>
      <c r="F57" s="271"/>
      <c r="G57" s="271"/>
      <c r="H57" s="271"/>
      <c r="I57" s="271"/>
      <c r="J57" s="278">
        <f t="shared" si="2"/>
        <v>0</v>
      </c>
      <c r="K57" s="288"/>
      <c r="L57" s="282"/>
      <c r="M57" s="280"/>
      <c r="N57" s="279"/>
      <c r="O57" s="282"/>
      <c r="P57" s="282"/>
      <c r="Q57" s="280"/>
      <c r="R57" s="279"/>
      <c r="S57" s="280"/>
      <c r="T57" s="279"/>
      <c r="U57" s="280"/>
      <c r="V57" s="279"/>
      <c r="W57" s="281"/>
      <c r="X57" s="117">
        <f t="shared" si="1"/>
        <v>0</v>
      </c>
      <c r="Y57" s="135"/>
    </row>
    <row r="58" spans="1:25" ht="31.5">
      <c r="A58" s="469"/>
      <c r="B58" s="469"/>
      <c r="C58" s="469"/>
      <c r="D58" s="174">
        <v>53</v>
      </c>
      <c r="E58" s="174" t="s">
        <v>90</v>
      </c>
      <c r="F58" s="271"/>
      <c r="G58" s="271"/>
      <c r="H58" s="271"/>
      <c r="I58" s="271"/>
      <c r="J58" s="278">
        <f t="shared" si="2"/>
        <v>0</v>
      </c>
      <c r="K58" s="271"/>
      <c r="L58" s="279"/>
      <c r="M58" s="280"/>
      <c r="N58" s="279"/>
      <c r="O58" s="282"/>
      <c r="P58" s="282"/>
      <c r="Q58" s="280"/>
      <c r="R58" s="279"/>
      <c r="S58" s="280"/>
      <c r="T58" s="279"/>
      <c r="U58" s="280"/>
      <c r="V58" s="279"/>
      <c r="W58" s="281"/>
      <c r="X58" s="117">
        <f t="shared" si="1"/>
        <v>0</v>
      </c>
      <c r="Y58" s="135"/>
    </row>
    <row r="59" spans="1:25" ht="141.75">
      <c r="A59" s="469"/>
      <c r="B59" s="469"/>
      <c r="C59" s="469"/>
      <c r="D59" s="174">
        <v>54</v>
      </c>
      <c r="E59" s="174" t="s">
        <v>91</v>
      </c>
      <c r="F59" s="271"/>
      <c r="G59" s="271"/>
      <c r="H59" s="271"/>
      <c r="I59" s="289"/>
      <c r="J59" s="296">
        <f t="shared" si="2"/>
        <v>0</v>
      </c>
      <c r="K59" s="271"/>
      <c r="L59" s="279"/>
      <c r="M59" s="280"/>
      <c r="N59" s="279"/>
      <c r="O59" s="279"/>
      <c r="P59" s="279"/>
      <c r="Q59" s="280"/>
      <c r="R59" s="279"/>
      <c r="S59" s="283"/>
      <c r="T59" s="121">
        <v>1</v>
      </c>
      <c r="U59" s="115"/>
      <c r="V59" s="279"/>
      <c r="W59" s="281"/>
      <c r="X59" s="117">
        <f t="shared" si="1"/>
        <v>1</v>
      </c>
      <c r="Y59" s="97" t="s">
        <v>92</v>
      </c>
    </row>
    <row r="60" spans="1:25" ht="31.5">
      <c r="A60" s="469"/>
      <c r="B60" s="469"/>
      <c r="C60" s="469"/>
      <c r="D60" s="174">
        <v>55</v>
      </c>
      <c r="E60" s="174" t="s">
        <v>93</v>
      </c>
      <c r="F60" s="271"/>
      <c r="G60" s="271"/>
      <c r="H60" s="271"/>
      <c r="I60" s="271"/>
      <c r="J60" s="278">
        <f t="shared" si="2"/>
        <v>0</v>
      </c>
      <c r="K60" s="271"/>
      <c r="L60" s="279"/>
      <c r="M60" s="280"/>
      <c r="N60" s="279"/>
      <c r="O60" s="282"/>
      <c r="P60" s="282"/>
      <c r="Q60" s="280"/>
      <c r="R60" s="279"/>
      <c r="S60" s="280"/>
      <c r="T60" s="279"/>
      <c r="U60" s="280"/>
      <c r="V60" s="279"/>
      <c r="W60" s="281"/>
      <c r="X60" s="117">
        <f t="shared" si="1"/>
        <v>0</v>
      </c>
      <c r="Y60" s="252"/>
    </row>
    <row r="61" spans="1:25" ht="31.5">
      <c r="A61" s="469"/>
      <c r="B61" s="469"/>
      <c r="C61" s="469"/>
      <c r="D61" s="174">
        <v>56</v>
      </c>
      <c r="E61" s="174" t="s">
        <v>94</v>
      </c>
      <c r="F61" s="271"/>
      <c r="G61" s="271"/>
      <c r="H61" s="271"/>
      <c r="I61" s="271"/>
      <c r="J61" s="278">
        <f t="shared" si="2"/>
        <v>0</v>
      </c>
      <c r="K61" s="271"/>
      <c r="L61" s="279"/>
      <c r="M61" s="280"/>
      <c r="N61" s="279"/>
      <c r="O61" s="279"/>
      <c r="P61" s="279"/>
      <c r="Q61" s="280"/>
      <c r="R61" s="279"/>
      <c r="S61" s="280"/>
      <c r="T61" s="279"/>
      <c r="U61" s="280"/>
      <c r="V61" s="279"/>
      <c r="W61" s="281"/>
      <c r="X61" s="117">
        <f t="shared" si="1"/>
        <v>0</v>
      </c>
      <c r="Y61" s="252"/>
    </row>
    <row r="62" spans="1:25" ht="31.5">
      <c r="A62" s="469"/>
      <c r="B62" s="469"/>
      <c r="C62" s="469"/>
      <c r="D62" s="174">
        <v>57</v>
      </c>
      <c r="E62" s="174" t="s">
        <v>95</v>
      </c>
      <c r="F62" s="271"/>
      <c r="G62" s="271"/>
      <c r="H62" s="271"/>
      <c r="I62" s="289"/>
      <c r="J62" s="296">
        <f t="shared" si="2"/>
        <v>0</v>
      </c>
      <c r="K62" s="271"/>
      <c r="L62" s="279"/>
      <c r="M62" s="280"/>
      <c r="N62" s="279"/>
      <c r="O62" s="279"/>
      <c r="P62" s="279"/>
      <c r="Q62" s="283"/>
      <c r="R62" s="286"/>
      <c r="S62" s="97"/>
      <c r="T62" s="279"/>
      <c r="U62" s="280"/>
      <c r="V62" s="279"/>
      <c r="W62" s="281"/>
      <c r="X62" s="117">
        <f t="shared" si="1"/>
        <v>0</v>
      </c>
      <c r="Y62" s="135"/>
    </row>
    <row r="63" spans="1:25" ht="31.5">
      <c r="A63" s="469"/>
      <c r="B63" s="469"/>
      <c r="C63" s="469"/>
      <c r="D63" s="174">
        <v>58</v>
      </c>
      <c r="E63" s="174" t="s">
        <v>97</v>
      </c>
      <c r="F63" s="271"/>
      <c r="G63" s="271"/>
      <c r="H63" s="271"/>
      <c r="I63" s="271"/>
      <c r="J63" s="278">
        <f t="shared" si="2"/>
        <v>0</v>
      </c>
      <c r="K63" s="271"/>
      <c r="L63" s="279"/>
      <c r="M63" s="280"/>
      <c r="N63" s="279"/>
      <c r="O63" s="282"/>
      <c r="P63" s="282"/>
      <c r="Q63" s="280"/>
      <c r="R63" s="279"/>
      <c r="S63" s="280"/>
      <c r="T63" s="279"/>
      <c r="U63" s="280"/>
      <c r="V63" s="279"/>
      <c r="W63" s="281"/>
      <c r="X63" s="117">
        <f t="shared" si="1"/>
        <v>0</v>
      </c>
      <c r="Y63" s="135"/>
    </row>
    <row r="64" spans="1:25" ht="15.75">
      <c r="A64" s="469"/>
      <c r="B64" s="469"/>
      <c r="C64" s="469"/>
      <c r="D64" s="174">
        <v>59</v>
      </c>
      <c r="E64" s="174" t="s">
        <v>98</v>
      </c>
      <c r="F64" s="271"/>
      <c r="G64" s="271"/>
      <c r="H64" s="271"/>
      <c r="I64" s="271"/>
      <c r="J64" s="278">
        <f t="shared" si="2"/>
        <v>0</v>
      </c>
      <c r="K64" s="271"/>
      <c r="L64" s="279"/>
      <c r="M64" s="280"/>
      <c r="N64" s="279"/>
      <c r="O64" s="279"/>
      <c r="P64" s="279"/>
      <c r="Q64" s="280"/>
      <c r="R64" s="279"/>
      <c r="S64" s="280"/>
      <c r="T64" s="279"/>
      <c r="U64" s="280"/>
      <c r="V64" s="279"/>
      <c r="W64" s="281"/>
      <c r="X64" s="117">
        <f t="shared" si="1"/>
        <v>0</v>
      </c>
      <c r="Y64" s="252"/>
    </row>
    <row r="65" spans="1:25" ht="31.5">
      <c r="A65" s="469"/>
      <c r="B65" s="469"/>
      <c r="C65" s="469"/>
      <c r="D65" s="174">
        <v>60</v>
      </c>
      <c r="E65" s="174" t="s">
        <v>99</v>
      </c>
      <c r="F65" s="271"/>
      <c r="G65" s="271"/>
      <c r="H65" s="271"/>
      <c r="I65" s="271"/>
      <c r="J65" s="278">
        <f t="shared" si="2"/>
        <v>0</v>
      </c>
      <c r="K65" s="271"/>
      <c r="L65" s="279"/>
      <c r="M65" s="280"/>
      <c r="N65" s="279"/>
      <c r="O65" s="279"/>
      <c r="P65" s="279"/>
      <c r="Q65" s="280"/>
      <c r="R65" s="279"/>
      <c r="S65" s="280"/>
      <c r="T65" s="279"/>
      <c r="U65" s="280"/>
      <c r="V65" s="279"/>
      <c r="W65" s="281"/>
      <c r="X65" s="117">
        <f t="shared" si="1"/>
        <v>0</v>
      </c>
      <c r="Y65" s="252"/>
    </row>
    <row r="66" spans="1:25" ht="31.5" hidden="1">
      <c r="A66" s="469"/>
      <c r="B66" s="469"/>
      <c r="C66" s="469"/>
      <c r="D66" s="174">
        <v>61</v>
      </c>
      <c r="E66" s="174" t="s">
        <v>44</v>
      </c>
      <c r="F66" s="271"/>
      <c r="G66" s="271"/>
      <c r="H66" s="271"/>
      <c r="I66" s="271"/>
      <c r="J66" s="278">
        <f t="shared" si="2"/>
        <v>0</v>
      </c>
      <c r="K66" s="271"/>
      <c r="L66" s="279"/>
      <c r="M66" s="280"/>
      <c r="N66" s="279"/>
      <c r="O66" s="279"/>
      <c r="P66" s="279"/>
      <c r="Q66" s="280"/>
      <c r="R66" s="279"/>
      <c r="S66" s="280"/>
      <c r="T66" s="279"/>
      <c r="U66" s="280"/>
      <c r="V66" s="279"/>
      <c r="W66" s="281"/>
      <c r="X66" s="117">
        <f t="shared" si="1"/>
        <v>0</v>
      </c>
      <c r="Y66" s="252"/>
    </row>
    <row r="67" spans="1:25" ht="126">
      <c r="A67" s="469"/>
      <c r="B67" s="174" t="s">
        <v>100</v>
      </c>
      <c r="C67" s="174" t="s">
        <v>101</v>
      </c>
      <c r="D67" s="174">
        <v>62</v>
      </c>
      <c r="E67" s="174" t="s">
        <v>102</v>
      </c>
      <c r="F67" s="271"/>
      <c r="G67" s="271"/>
      <c r="H67" s="271"/>
      <c r="I67" s="271"/>
      <c r="J67" s="278">
        <f t="shared" si="2"/>
        <v>0</v>
      </c>
      <c r="K67" s="271"/>
      <c r="L67" s="279"/>
      <c r="M67" s="280"/>
      <c r="N67" s="279"/>
      <c r="O67" s="279"/>
      <c r="P67" s="279"/>
      <c r="Q67" s="281"/>
      <c r="R67" s="282"/>
      <c r="S67" s="283"/>
      <c r="T67" s="284"/>
      <c r="U67" s="283"/>
      <c r="V67" s="284"/>
      <c r="W67" s="281"/>
      <c r="X67" s="117">
        <f t="shared" si="1"/>
        <v>0</v>
      </c>
      <c r="Y67" s="252"/>
    </row>
    <row r="68" spans="1:25" ht="30.75" customHeight="1">
      <c r="A68" s="469"/>
      <c r="B68" s="486" t="s">
        <v>103</v>
      </c>
      <c r="C68" s="469"/>
      <c r="D68" s="469"/>
      <c r="E68" s="303"/>
      <c r="F68" s="102">
        <f t="shared" ref="F68:W68" si="3">SUM(F6:F67)</f>
        <v>33.500750000000004</v>
      </c>
      <c r="G68" s="102">
        <f t="shared" si="3"/>
        <v>0</v>
      </c>
      <c r="H68" s="102">
        <f t="shared" si="3"/>
        <v>0</v>
      </c>
      <c r="I68" s="102">
        <f t="shared" si="3"/>
        <v>0</v>
      </c>
      <c r="J68" s="102">
        <f t="shared" si="3"/>
        <v>0</v>
      </c>
      <c r="K68" s="102">
        <f t="shared" si="3"/>
        <v>0</v>
      </c>
      <c r="L68" s="102">
        <f t="shared" si="3"/>
        <v>7.7763900000000001</v>
      </c>
      <c r="M68" s="102">
        <f t="shared" si="3"/>
        <v>0</v>
      </c>
      <c r="N68" s="102">
        <f t="shared" si="3"/>
        <v>0</v>
      </c>
      <c r="O68" s="102">
        <f t="shared" si="3"/>
        <v>44.481299999999997</v>
      </c>
      <c r="P68" s="102">
        <f t="shared" si="3"/>
        <v>44.481299999999997</v>
      </c>
      <c r="Q68" s="102">
        <f t="shared" si="3"/>
        <v>0</v>
      </c>
      <c r="R68" s="102">
        <f t="shared" si="3"/>
        <v>34.675799999999995</v>
      </c>
      <c r="S68" s="102">
        <f t="shared" si="3"/>
        <v>0</v>
      </c>
      <c r="T68" s="102">
        <f t="shared" si="3"/>
        <v>281.92619999999999</v>
      </c>
      <c r="U68" s="102">
        <f t="shared" si="3"/>
        <v>0</v>
      </c>
      <c r="V68" s="102">
        <f t="shared" si="3"/>
        <v>0</v>
      </c>
      <c r="W68" s="102">
        <f t="shared" si="3"/>
        <v>0</v>
      </c>
      <c r="X68" s="102">
        <f t="shared" si="1"/>
        <v>402.36043999999998</v>
      </c>
      <c r="Y68" s="252"/>
    </row>
    <row r="69" spans="1:25" ht="81.75" customHeight="1">
      <c r="A69" s="485" t="s">
        <v>104</v>
      </c>
      <c r="B69" s="174" t="s">
        <v>105</v>
      </c>
      <c r="C69" s="174" t="s">
        <v>106</v>
      </c>
      <c r="D69" s="174">
        <v>63</v>
      </c>
      <c r="E69" s="174" t="s">
        <v>107</v>
      </c>
      <c r="F69" s="271"/>
      <c r="G69" s="271"/>
      <c r="H69" s="271"/>
      <c r="I69" s="271"/>
      <c r="J69" s="278">
        <f t="shared" ref="J69:J79" si="4">H69+I69</f>
        <v>0</v>
      </c>
      <c r="K69" s="271"/>
      <c r="L69" s="279"/>
      <c r="M69" s="280"/>
      <c r="N69" s="279"/>
      <c r="O69" s="279"/>
      <c r="P69" s="279"/>
      <c r="Q69" s="283"/>
      <c r="R69" s="284"/>
      <c r="S69" s="281"/>
      <c r="T69" s="282"/>
      <c r="U69" s="283"/>
      <c r="V69" s="304">
        <v>1.5</v>
      </c>
      <c r="W69" s="282"/>
      <c r="X69" s="117">
        <f t="shared" si="1"/>
        <v>1.5</v>
      </c>
      <c r="Y69" s="135" t="s">
        <v>962</v>
      </c>
    </row>
    <row r="70" spans="1:25" ht="52.5" customHeight="1">
      <c r="A70" s="469"/>
      <c r="B70" s="484" t="s">
        <v>108</v>
      </c>
      <c r="C70" s="484" t="s">
        <v>109</v>
      </c>
      <c r="D70" s="174">
        <v>64</v>
      </c>
      <c r="E70" s="174" t="s">
        <v>110</v>
      </c>
      <c r="F70" s="271"/>
      <c r="G70" s="271"/>
      <c r="H70" s="271"/>
      <c r="I70" s="289"/>
      <c r="J70" s="296">
        <f t="shared" si="4"/>
        <v>0</v>
      </c>
      <c r="K70" s="288"/>
      <c r="L70" s="261">
        <v>0</v>
      </c>
      <c r="M70" s="280"/>
      <c r="N70" s="279"/>
      <c r="O70" s="282">
        <v>0.26</v>
      </c>
      <c r="P70" s="305">
        <f>N70+O70</f>
        <v>0.26</v>
      </c>
      <c r="Q70" s="279" t="s">
        <v>353</v>
      </c>
      <c r="R70" s="279">
        <v>0</v>
      </c>
      <c r="S70" s="281"/>
      <c r="T70" s="123">
        <v>1</v>
      </c>
      <c r="U70" s="284"/>
      <c r="V70" s="284">
        <v>0.2</v>
      </c>
      <c r="W70" s="281"/>
      <c r="X70" s="117">
        <f t="shared" si="1"/>
        <v>1.46</v>
      </c>
      <c r="Y70" s="135" t="s">
        <v>1051</v>
      </c>
    </row>
    <row r="71" spans="1:25" ht="270.75" customHeight="1">
      <c r="A71" s="469"/>
      <c r="B71" s="469"/>
      <c r="C71" s="469"/>
      <c r="D71" s="174">
        <v>65</v>
      </c>
      <c r="E71" s="174" t="s">
        <v>111</v>
      </c>
      <c r="F71" s="271"/>
      <c r="G71" s="271"/>
      <c r="H71" s="271"/>
      <c r="I71" s="271"/>
      <c r="J71" s="278">
        <f t="shared" si="4"/>
        <v>0</v>
      </c>
      <c r="K71" s="271"/>
      <c r="L71" s="279"/>
      <c r="M71" s="280"/>
      <c r="N71" s="279"/>
      <c r="O71" s="279"/>
      <c r="P71" s="279"/>
      <c r="Q71" s="280"/>
      <c r="R71" s="279"/>
      <c r="S71" s="283"/>
      <c r="T71" s="299">
        <v>0.25</v>
      </c>
      <c r="U71" s="283"/>
      <c r="V71" s="284"/>
      <c r="W71" s="281"/>
      <c r="X71" s="117">
        <f t="shared" si="1"/>
        <v>0.25</v>
      </c>
      <c r="Y71" s="135" t="s">
        <v>1052</v>
      </c>
    </row>
    <row r="72" spans="1:25" ht="109.5" customHeight="1">
      <c r="A72" s="469"/>
      <c r="B72" s="469"/>
      <c r="C72" s="469"/>
      <c r="D72" s="174">
        <v>66</v>
      </c>
      <c r="E72" s="174" t="s">
        <v>112</v>
      </c>
      <c r="F72" s="271"/>
      <c r="G72" s="271"/>
      <c r="H72" s="271"/>
      <c r="I72" s="271"/>
      <c r="J72" s="278">
        <f t="shared" si="4"/>
        <v>0</v>
      </c>
      <c r="K72" s="271"/>
      <c r="L72" s="279"/>
      <c r="M72" s="280"/>
      <c r="N72" s="279"/>
      <c r="O72" s="282"/>
      <c r="P72" s="282"/>
      <c r="Q72" s="280"/>
      <c r="R72" s="279"/>
      <c r="S72" s="283"/>
      <c r="T72" s="304">
        <v>0.09</v>
      </c>
      <c r="U72" s="280"/>
      <c r="V72" s="279"/>
      <c r="W72" s="281"/>
      <c r="X72" s="117">
        <f t="shared" si="1"/>
        <v>0.09</v>
      </c>
      <c r="Y72" s="135" t="s">
        <v>1053</v>
      </c>
    </row>
    <row r="73" spans="1:25" ht="176.25" customHeight="1">
      <c r="A73" s="469"/>
      <c r="B73" s="469"/>
      <c r="C73" s="469"/>
      <c r="D73" s="174">
        <v>67</v>
      </c>
      <c r="E73" s="174" t="s">
        <v>113</v>
      </c>
      <c r="F73" s="271"/>
      <c r="G73" s="271"/>
      <c r="H73" s="271"/>
      <c r="I73" s="271"/>
      <c r="J73" s="278">
        <f t="shared" si="4"/>
        <v>0</v>
      </c>
      <c r="K73" s="271"/>
      <c r="L73" s="279"/>
      <c r="M73" s="280"/>
      <c r="N73" s="279"/>
      <c r="O73" s="282"/>
      <c r="P73" s="282"/>
      <c r="Q73" s="280"/>
      <c r="R73" s="279"/>
      <c r="S73" s="283"/>
      <c r="T73" s="299">
        <v>29.95</v>
      </c>
      <c r="U73" s="283"/>
      <c r="V73" s="304">
        <v>1.5</v>
      </c>
      <c r="W73" s="281"/>
      <c r="X73" s="117">
        <f t="shared" si="1"/>
        <v>31.45</v>
      </c>
      <c r="Y73" s="135" t="s">
        <v>1060</v>
      </c>
    </row>
    <row r="74" spans="1:25" ht="101.25" customHeight="1">
      <c r="A74" s="469"/>
      <c r="B74" s="469"/>
      <c r="C74" s="469"/>
      <c r="D74" s="174">
        <v>68</v>
      </c>
      <c r="E74" s="174" t="s">
        <v>114</v>
      </c>
      <c r="F74" s="289"/>
      <c r="G74" s="271"/>
      <c r="H74" s="271"/>
      <c r="I74" s="271"/>
      <c r="J74" s="278">
        <f t="shared" si="4"/>
        <v>0</v>
      </c>
      <c r="K74" s="288"/>
      <c r="L74" s="282"/>
      <c r="M74" s="280"/>
      <c r="N74" s="279"/>
      <c r="O74" s="282"/>
      <c r="P74" s="282"/>
      <c r="Q74" s="280"/>
      <c r="R74" s="279"/>
      <c r="S74" s="283"/>
      <c r="T74" s="304">
        <v>19.399999999999999</v>
      </c>
      <c r="U74" s="283"/>
      <c r="V74" s="304">
        <v>1.4</v>
      </c>
      <c r="W74" s="281"/>
      <c r="X74" s="117">
        <f t="shared" si="1"/>
        <v>20.799999999999997</v>
      </c>
      <c r="Y74" s="135" t="s">
        <v>1055</v>
      </c>
    </row>
    <row r="75" spans="1:25" ht="327" customHeight="1">
      <c r="A75" s="469"/>
      <c r="B75" s="484" t="s">
        <v>115</v>
      </c>
      <c r="C75" s="484" t="s">
        <v>116</v>
      </c>
      <c r="D75" s="174">
        <v>69</v>
      </c>
      <c r="E75" s="174" t="s">
        <v>117</v>
      </c>
      <c r="F75" s="127"/>
      <c r="G75" s="127"/>
      <c r="H75" s="127"/>
      <c r="I75" s="127"/>
      <c r="J75" s="278">
        <f t="shared" si="4"/>
        <v>0</v>
      </c>
      <c r="K75" s="127"/>
      <c r="L75" s="279"/>
      <c r="M75" s="279"/>
      <c r="N75" s="279"/>
      <c r="O75" s="279"/>
      <c r="P75" s="279"/>
      <c r="Q75" s="279"/>
      <c r="R75" s="287">
        <v>0.2</v>
      </c>
      <c r="S75" s="279"/>
      <c r="T75" s="287">
        <f>1.2+78.68+3.934+1.04+1.18+0.393+1.3</f>
        <v>87.727000000000018</v>
      </c>
      <c r="U75" s="279"/>
      <c r="V75" s="279"/>
      <c r="W75" s="281"/>
      <c r="X75" s="117">
        <f t="shared" si="1"/>
        <v>87.927000000000021</v>
      </c>
      <c r="Y75" s="224" t="s">
        <v>915</v>
      </c>
    </row>
    <row r="76" spans="1:25" ht="206.25" customHeight="1">
      <c r="A76" s="469"/>
      <c r="B76" s="469"/>
      <c r="C76" s="469"/>
      <c r="D76" s="174">
        <v>70</v>
      </c>
      <c r="E76" s="174" t="s">
        <v>118</v>
      </c>
      <c r="F76" s="127"/>
      <c r="G76" s="127"/>
      <c r="H76" s="127"/>
      <c r="I76" s="127"/>
      <c r="J76" s="278">
        <f t="shared" si="4"/>
        <v>0</v>
      </c>
      <c r="K76" s="306"/>
      <c r="L76" s="307">
        <v>0.112</v>
      </c>
      <c r="M76" s="279"/>
      <c r="N76" s="279"/>
      <c r="O76" s="279"/>
      <c r="P76" s="279"/>
      <c r="Q76" s="279"/>
      <c r="R76" s="279"/>
      <c r="S76" s="279"/>
      <c r="T76" s="287">
        <v>1.1000000000000001</v>
      </c>
      <c r="U76" s="279"/>
      <c r="V76" s="279"/>
      <c r="W76" s="281"/>
      <c r="X76" s="117">
        <f t="shared" si="1"/>
        <v>1.2120000000000002</v>
      </c>
      <c r="Y76" s="224" t="s">
        <v>916</v>
      </c>
    </row>
    <row r="77" spans="1:25" ht="15.75">
      <c r="A77" s="469"/>
      <c r="B77" s="469"/>
      <c r="C77" s="469"/>
      <c r="D77" s="174">
        <v>71</v>
      </c>
      <c r="E77" s="174" t="s">
        <v>119</v>
      </c>
      <c r="F77" s="127"/>
      <c r="G77" s="127"/>
      <c r="H77" s="127"/>
      <c r="I77" s="127"/>
      <c r="J77" s="278">
        <f t="shared" si="4"/>
        <v>0</v>
      </c>
      <c r="K77" s="127"/>
      <c r="L77" s="279"/>
      <c r="M77" s="279"/>
      <c r="N77" s="279"/>
      <c r="O77" s="279"/>
      <c r="P77" s="279"/>
      <c r="Q77" s="279"/>
      <c r="R77" s="279"/>
      <c r="S77" s="279"/>
      <c r="T77" s="279"/>
      <c r="U77" s="279"/>
      <c r="V77" s="279"/>
      <c r="W77" s="281"/>
      <c r="X77" s="117">
        <f t="shared" si="1"/>
        <v>0</v>
      </c>
      <c r="Y77" s="252"/>
    </row>
    <row r="78" spans="1:25" ht="31.5">
      <c r="A78" s="469"/>
      <c r="B78" s="469"/>
      <c r="C78" s="469"/>
      <c r="D78" s="174">
        <v>72</v>
      </c>
      <c r="E78" s="174" t="s">
        <v>120</v>
      </c>
      <c r="F78" s="127"/>
      <c r="G78" s="127"/>
      <c r="H78" s="127"/>
      <c r="I78" s="271"/>
      <c r="J78" s="278">
        <f t="shared" si="4"/>
        <v>0</v>
      </c>
      <c r="K78" s="271"/>
      <c r="L78" s="279"/>
      <c r="M78" s="280"/>
      <c r="N78" s="279"/>
      <c r="O78" s="308"/>
      <c r="P78" s="308"/>
      <c r="Q78" s="281"/>
      <c r="R78" s="282"/>
      <c r="S78" s="283"/>
      <c r="T78" s="284"/>
      <c r="U78" s="280"/>
      <c r="V78" s="279"/>
      <c r="W78" s="281"/>
      <c r="X78" s="117">
        <f t="shared" si="1"/>
        <v>0</v>
      </c>
      <c r="Y78" s="135"/>
    </row>
    <row r="79" spans="1:25" ht="409.5">
      <c r="A79" s="469"/>
      <c r="B79" s="484" t="s">
        <v>121</v>
      </c>
      <c r="C79" s="484" t="s">
        <v>122</v>
      </c>
      <c r="D79" s="174">
        <v>73</v>
      </c>
      <c r="E79" s="174" t="s">
        <v>123</v>
      </c>
      <c r="F79" s="147">
        <v>2.8</v>
      </c>
      <c r="G79" s="147"/>
      <c r="H79" s="147"/>
      <c r="I79" s="309">
        <v>0.4</v>
      </c>
      <c r="J79" s="310">
        <f t="shared" si="4"/>
        <v>0.4</v>
      </c>
      <c r="K79" s="147"/>
      <c r="L79" s="248">
        <v>1.8</v>
      </c>
      <c r="M79" s="248"/>
      <c r="N79" s="248"/>
      <c r="O79" s="248">
        <v>3.1</v>
      </c>
      <c r="P79" s="311">
        <f>O79</f>
        <v>3.1</v>
      </c>
      <c r="Q79" s="248"/>
      <c r="R79" s="248">
        <v>9.8000000000000007</v>
      </c>
      <c r="S79" s="248"/>
      <c r="T79" s="248">
        <v>1</v>
      </c>
      <c r="U79" s="248"/>
      <c r="V79" s="248">
        <v>0.5</v>
      </c>
      <c r="W79" s="281"/>
      <c r="X79" s="117">
        <f t="shared" si="1"/>
        <v>19.399999999999999</v>
      </c>
      <c r="Y79" s="135" t="s">
        <v>1095</v>
      </c>
    </row>
    <row r="80" spans="1:25" ht="63">
      <c r="A80" s="469"/>
      <c r="B80" s="469"/>
      <c r="C80" s="469"/>
      <c r="D80" s="174">
        <v>74</v>
      </c>
      <c r="E80" s="174" t="s">
        <v>124</v>
      </c>
      <c r="F80" s="147">
        <v>67</v>
      </c>
      <c r="G80" s="147"/>
      <c r="H80" s="147"/>
      <c r="I80" s="150"/>
      <c r="J80" s="149">
        <v>0</v>
      </c>
      <c r="K80" s="150"/>
      <c r="L80" s="312"/>
      <c r="M80" s="312"/>
      <c r="N80" s="312"/>
      <c r="O80" s="312"/>
      <c r="P80" s="287">
        <v>0</v>
      </c>
      <c r="Q80" s="312"/>
      <c r="R80" s="312"/>
      <c r="S80" s="312"/>
      <c r="T80" s="312"/>
      <c r="U80" s="312"/>
      <c r="V80" s="312"/>
      <c r="W80" s="281"/>
      <c r="X80" s="117">
        <f t="shared" si="1"/>
        <v>67</v>
      </c>
      <c r="Y80" s="135" t="s">
        <v>1096</v>
      </c>
    </row>
    <row r="81" spans="1:25" ht="236.25">
      <c r="A81" s="469"/>
      <c r="B81" s="469"/>
      <c r="C81" s="469"/>
      <c r="D81" s="174">
        <v>75</v>
      </c>
      <c r="E81" s="174" t="s">
        <v>125</v>
      </c>
      <c r="F81" s="147">
        <v>2</v>
      </c>
      <c r="G81" s="147"/>
      <c r="H81" s="147"/>
      <c r="I81" s="150"/>
      <c r="J81" s="149">
        <v>0</v>
      </c>
      <c r="K81" s="150"/>
      <c r="L81" s="312"/>
      <c r="M81" s="312"/>
      <c r="N81" s="312"/>
      <c r="O81" s="312"/>
      <c r="P81" s="287">
        <v>0</v>
      </c>
      <c r="Q81" s="312"/>
      <c r="R81" s="312">
        <v>0</v>
      </c>
      <c r="S81" s="248"/>
      <c r="T81" s="248">
        <v>1.3</v>
      </c>
      <c r="U81" s="312"/>
      <c r="V81" s="312"/>
      <c r="W81" s="281"/>
      <c r="X81" s="117">
        <f t="shared" si="1"/>
        <v>3.3</v>
      </c>
      <c r="Y81" s="135" t="s">
        <v>1097</v>
      </c>
    </row>
    <row r="82" spans="1:25" ht="157.5">
      <c r="A82" s="469"/>
      <c r="B82" s="469"/>
      <c r="C82" s="469"/>
      <c r="D82" s="174">
        <v>76</v>
      </c>
      <c r="E82" s="174" t="s">
        <v>126</v>
      </c>
      <c r="F82" s="150">
        <v>1.9</v>
      </c>
      <c r="G82" s="150"/>
      <c r="H82" s="150"/>
      <c r="I82" s="150"/>
      <c r="J82" s="140">
        <v>0</v>
      </c>
      <c r="K82" s="150"/>
      <c r="L82" s="312"/>
      <c r="M82" s="312"/>
      <c r="N82" s="312"/>
      <c r="O82" s="248"/>
      <c r="P82" s="311">
        <v>0</v>
      </c>
      <c r="Q82" s="248"/>
      <c r="R82" s="248">
        <v>1.3</v>
      </c>
      <c r="S82" s="312"/>
      <c r="T82" s="312"/>
      <c r="U82" s="312"/>
      <c r="V82" s="312"/>
      <c r="W82" s="281"/>
      <c r="X82" s="117">
        <f t="shared" si="1"/>
        <v>3.2</v>
      </c>
      <c r="Y82" s="135" t="s">
        <v>1098</v>
      </c>
    </row>
    <row r="83" spans="1:25" ht="283.5">
      <c r="A83" s="469"/>
      <c r="B83" s="469"/>
      <c r="C83" s="469"/>
      <c r="D83" s="174">
        <v>77</v>
      </c>
      <c r="E83" s="174" t="s">
        <v>127</v>
      </c>
      <c r="F83" s="147">
        <v>0.3</v>
      </c>
      <c r="G83" s="147"/>
      <c r="H83" s="147"/>
      <c r="I83" s="147">
        <v>0.25</v>
      </c>
      <c r="J83" s="149">
        <f>I83</f>
        <v>0.25</v>
      </c>
      <c r="K83" s="147"/>
      <c r="L83" s="248">
        <v>3.8</v>
      </c>
      <c r="M83" s="312"/>
      <c r="N83" s="312"/>
      <c r="O83" s="248">
        <v>1</v>
      </c>
      <c r="P83" s="311">
        <v>1</v>
      </c>
      <c r="Q83" s="248"/>
      <c r="R83" s="248"/>
      <c r="S83" s="312"/>
      <c r="T83" s="312"/>
      <c r="U83" s="248"/>
      <c r="V83" s="248"/>
      <c r="W83" s="281"/>
      <c r="X83" s="117">
        <f>F83+L83+P83+I83</f>
        <v>5.35</v>
      </c>
      <c r="Y83" s="135" t="s">
        <v>1099</v>
      </c>
    </row>
    <row r="84" spans="1:25" ht="22.5" customHeight="1">
      <c r="A84" s="469"/>
      <c r="B84" s="469"/>
      <c r="C84" s="469"/>
      <c r="D84" s="174">
        <v>78</v>
      </c>
      <c r="E84" s="174" t="s">
        <v>128</v>
      </c>
      <c r="F84" s="127"/>
      <c r="G84" s="127"/>
      <c r="H84" s="127"/>
      <c r="I84" s="127"/>
      <c r="J84" s="278">
        <f>H84+I84</f>
        <v>0</v>
      </c>
      <c r="K84" s="127"/>
      <c r="L84" s="279"/>
      <c r="M84" s="279"/>
      <c r="N84" s="279"/>
      <c r="O84" s="279"/>
      <c r="P84" s="279"/>
      <c r="Q84" s="279"/>
      <c r="R84" s="279"/>
      <c r="S84" s="279"/>
      <c r="T84" s="279"/>
      <c r="U84" s="279"/>
      <c r="V84" s="279"/>
      <c r="W84" s="281"/>
      <c r="X84" s="117">
        <f>F84+J84+L84+P84+R84+T84+V84</f>
        <v>0</v>
      </c>
      <c r="Y84" s="135"/>
    </row>
    <row r="85" spans="1:25" ht="15" hidden="1" customHeight="1">
      <c r="A85" s="469"/>
      <c r="B85" s="469"/>
      <c r="C85" s="469"/>
      <c r="D85" s="174">
        <v>79</v>
      </c>
      <c r="E85" s="174" t="s">
        <v>44</v>
      </c>
      <c r="F85" s="271"/>
      <c r="G85" s="271"/>
      <c r="H85" s="271"/>
      <c r="I85" s="271"/>
      <c r="J85" s="278">
        <f t="shared" ref="J85:J92" si="5">H85+I85</f>
        <v>0</v>
      </c>
      <c r="K85" s="271"/>
      <c r="L85" s="279"/>
      <c r="M85" s="280"/>
      <c r="N85" s="279"/>
      <c r="O85" s="279"/>
      <c r="P85" s="279"/>
      <c r="Q85" s="280"/>
      <c r="R85" s="279"/>
      <c r="S85" s="280"/>
      <c r="T85" s="279"/>
      <c r="U85" s="280"/>
      <c r="V85" s="279"/>
      <c r="W85" s="281"/>
      <c r="X85" s="117">
        <f t="shared" si="1"/>
        <v>0</v>
      </c>
      <c r="Y85" s="252"/>
    </row>
    <row r="86" spans="1:25" ht="15.75">
      <c r="A86" s="469"/>
      <c r="B86" s="484" t="s">
        <v>129</v>
      </c>
      <c r="C86" s="484" t="s">
        <v>130</v>
      </c>
      <c r="D86" s="174">
        <v>80</v>
      </c>
      <c r="E86" s="174" t="s">
        <v>131</v>
      </c>
      <c r="F86" s="271"/>
      <c r="G86" s="271"/>
      <c r="H86" s="271"/>
      <c r="I86" s="271"/>
      <c r="J86" s="278">
        <f t="shared" si="5"/>
        <v>0</v>
      </c>
      <c r="K86" s="271"/>
      <c r="L86" s="279"/>
      <c r="M86" s="280"/>
      <c r="N86" s="279"/>
      <c r="O86" s="308"/>
      <c r="P86" s="308"/>
      <c r="Q86" s="281"/>
      <c r="R86" s="282"/>
      <c r="S86" s="283"/>
      <c r="T86" s="286"/>
      <c r="U86" s="279"/>
      <c r="V86" s="279"/>
      <c r="W86" s="281"/>
      <c r="X86" s="117">
        <f t="shared" si="1"/>
        <v>0</v>
      </c>
      <c r="Y86" s="97"/>
    </row>
    <row r="87" spans="1:25" ht="31.5">
      <c r="A87" s="469"/>
      <c r="B87" s="469"/>
      <c r="C87" s="469"/>
      <c r="D87" s="174">
        <v>81</v>
      </c>
      <c r="E87" s="174" t="s">
        <v>132</v>
      </c>
      <c r="F87" s="271"/>
      <c r="G87" s="271"/>
      <c r="H87" s="271"/>
      <c r="I87" s="271"/>
      <c r="J87" s="278">
        <f t="shared" si="5"/>
        <v>0</v>
      </c>
      <c r="K87" s="271"/>
      <c r="L87" s="279"/>
      <c r="M87" s="280"/>
      <c r="N87" s="279"/>
      <c r="O87" s="279"/>
      <c r="P87" s="279"/>
      <c r="Q87" s="281"/>
      <c r="R87" s="282"/>
      <c r="S87" s="283"/>
      <c r="T87" s="286"/>
      <c r="U87" s="280"/>
      <c r="V87" s="279"/>
      <c r="W87" s="281"/>
      <c r="X87" s="117">
        <f t="shared" si="1"/>
        <v>0</v>
      </c>
      <c r="Y87" s="135"/>
    </row>
    <row r="88" spans="1:25" ht="47.25">
      <c r="A88" s="469"/>
      <c r="B88" s="469"/>
      <c r="C88" s="469"/>
      <c r="D88" s="174">
        <v>82</v>
      </c>
      <c r="E88" s="223" t="s">
        <v>133</v>
      </c>
      <c r="F88" s="271"/>
      <c r="G88" s="271"/>
      <c r="H88" s="271"/>
      <c r="I88" s="271"/>
      <c r="J88" s="278">
        <f t="shared" si="5"/>
        <v>0</v>
      </c>
      <c r="K88" s="271"/>
      <c r="L88" s="279"/>
      <c r="M88" s="280"/>
      <c r="N88" s="279"/>
      <c r="O88" s="279"/>
      <c r="P88" s="279"/>
      <c r="Q88" s="280"/>
      <c r="R88" s="279"/>
      <c r="S88" s="283"/>
      <c r="T88" s="284">
        <v>0.1</v>
      </c>
      <c r="U88" s="280"/>
      <c r="V88" s="279"/>
      <c r="W88" s="281"/>
      <c r="X88" s="117">
        <f t="shared" si="1"/>
        <v>0.1</v>
      </c>
      <c r="Y88" s="250" t="s">
        <v>957</v>
      </c>
    </row>
    <row r="89" spans="1:25" ht="31.5">
      <c r="A89" s="469"/>
      <c r="B89" s="469"/>
      <c r="C89" s="469"/>
      <c r="D89" s="174">
        <v>83</v>
      </c>
      <c r="E89" s="174" t="s">
        <v>134</v>
      </c>
      <c r="F89" s="271"/>
      <c r="G89" s="271"/>
      <c r="H89" s="271"/>
      <c r="I89" s="271"/>
      <c r="J89" s="278">
        <f t="shared" si="5"/>
        <v>0</v>
      </c>
      <c r="K89" s="271"/>
      <c r="L89" s="279"/>
      <c r="M89" s="280"/>
      <c r="N89" s="279"/>
      <c r="O89" s="297">
        <v>0.5</v>
      </c>
      <c r="P89" s="261">
        <f>O89</f>
        <v>0.5</v>
      </c>
      <c r="Q89" s="283"/>
      <c r="R89" s="284"/>
      <c r="S89" s="283"/>
      <c r="T89" s="286">
        <v>0</v>
      </c>
      <c r="U89" s="280"/>
      <c r="V89" s="279"/>
      <c r="W89" s="281"/>
      <c r="X89" s="117">
        <f t="shared" si="1"/>
        <v>0.5</v>
      </c>
      <c r="Y89" s="97" t="s">
        <v>956</v>
      </c>
    </row>
    <row r="90" spans="1:25" ht="94.5">
      <c r="A90" s="469"/>
      <c r="B90" s="174" t="s">
        <v>135</v>
      </c>
      <c r="C90" s="174" t="s">
        <v>136</v>
      </c>
      <c r="D90" s="174">
        <v>84</v>
      </c>
      <c r="E90" s="174" t="s">
        <v>137</v>
      </c>
      <c r="F90" s="271"/>
      <c r="G90" s="271"/>
      <c r="H90" s="271"/>
      <c r="I90" s="271"/>
      <c r="J90" s="278">
        <f t="shared" si="5"/>
        <v>0</v>
      </c>
      <c r="K90" s="288"/>
      <c r="L90" s="282"/>
      <c r="M90" s="280"/>
      <c r="N90" s="279"/>
      <c r="O90" s="282"/>
      <c r="P90" s="282"/>
      <c r="Q90" s="280"/>
      <c r="R90" s="279"/>
      <c r="S90" s="280"/>
      <c r="T90" s="279"/>
      <c r="U90" s="280"/>
      <c r="V90" s="279"/>
      <c r="W90" s="281"/>
      <c r="X90" s="117">
        <f t="shared" si="1"/>
        <v>0</v>
      </c>
      <c r="Y90" s="135" t="s">
        <v>343</v>
      </c>
    </row>
    <row r="91" spans="1:25" ht="110.25">
      <c r="A91" s="469"/>
      <c r="B91" s="174" t="s">
        <v>138</v>
      </c>
      <c r="C91" s="174" t="s">
        <v>139</v>
      </c>
      <c r="D91" s="174">
        <v>85</v>
      </c>
      <c r="E91" s="174" t="s">
        <v>140</v>
      </c>
      <c r="F91" s="271"/>
      <c r="G91" s="271"/>
      <c r="H91" s="271"/>
      <c r="I91" s="271"/>
      <c r="J91" s="278">
        <f t="shared" si="5"/>
        <v>0</v>
      </c>
      <c r="K91" s="271"/>
      <c r="L91" s="279"/>
      <c r="M91" s="280"/>
      <c r="N91" s="279"/>
      <c r="O91" s="282"/>
      <c r="P91" s="282"/>
      <c r="Q91" s="280"/>
      <c r="R91" s="279"/>
      <c r="S91" s="280"/>
      <c r="T91" s="279"/>
      <c r="U91" s="280"/>
      <c r="V91" s="279"/>
      <c r="W91" s="281"/>
      <c r="X91" s="117">
        <f t="shared" si="1"/>
        <v>0</v>
      </c>
      <c r="Y91" s="135" t="s">
        <v>344</v>
      </c>
    </row>
    <row r="92" spans="1:25" ht="94.5" hidden="1">
      <c r="A92" s="469"/>
      <c r="B92" s="174" t="s">
        <v>141</v>
      </c>
      <c r="C92" s="174" t="s">
        <v>44</v>
      </c>
      <c r="D92" s="174">
        <v>86</v>
      </c>
      <c r="E92" s="174" t="s">
        <v>142</v>
      </c>
      <c r="F92" s="271"/>
      <c r="G92" s="271"/>
      <c r="H92" s="271"/>
      <c r="I92" s="271"/>
      <c r="J92" s="278">
        <f t="shared" si="5"/>
        <v>0</v>
      </c>
      <c r="K92" s="271"/>
      <c r="L92" s="279"/>
      <c r="M92" s="280"/>
      <c r="N92" s="279"/>
      <c r="O92" s="279"/>
      <c r="P92" s="279"/>
      <c r="Q92" s="280"/>
      <c r="R92" s="279"/>
      <c r="S92" s="280"/>
      <c r="T92" s="279"/>
      <c r="U92" s="280"/>
      <c r="V92" s="279"/>
      <c r="W92" s="281"/>
      <c r="X92" s="117">
        <f t="shared" si="1"/>
        <v>0</v>
      </c>
      <c r="Y92" s="252"/>
    </row>
    <row r="93" spans="1:25" ht="34.5" customHeight="1">
      <c r="A93" s="469"/>
      <c r="B93" s="484" t="s">
        <v>143</v>
      </c>
      <c r="C93" s="469"/>
      <c r="D93" s="469"/>
      <c r="E93" s="271"/>
      <c r="F93" s="102">
        <f t="shared" ref="F93:W93" si="6">SUM(F69:F92)</f>
        <v>74</v>
      </c>
      <c r="G93" s="102">
        <f t="shared" si="6"/>
        <v>0</v>
      </c>
      <c r="H93" s="102">
        <f t="shared" si="6"/>
        <v>0</v>
      </c>
      <c r="I93" s="102">
        <f t="shared" si="6"/>
        <v>0.65</v>
      </c>
      <c r="J93" s="102">
        <f t="shared" si="6"/>
        <v>0.65</v>
      </c>
      <c r="K93" s="102">
        <f t="shared" si="6"/>
        <v>0</v>
      </c>
      <c r="L93" s="102">
        <f t="shared" si="6"/>
        <v>5.7119999999999997</v>
      </c>
      <c r="M93" s="102">
        <f t="shared" si="6"/>
        <v>0</v>
      </c>
      <c r="N93" s="102">
        <f t="shared" si="6"/>
        <v>0</v>
      </c>
      <c r="O93" s="102">
        <f t="shared" si="6"/>
        <v>4.8600000000000003</v>
      </c>
      <c r="P93" s="102">
        <f t="shared" si="6"/>
        <v>4.8600000000000003</v>
      </c>
      <c r="Q93" s="102">
        <f t="shared" si="6"/>
        <v>0</v>
      </c>
      <c r="R93" s="102">
        <f t="shared" si="6"/>
        <v>11.3</v>
      </c>
      <c r="S93" s="102">
        <f t="shared" si="6"/>
        <v>0</v>
      </c>
      <c r="T93" s="102">
        <f t="shared" si="6"/>
        <v>141.91700000000003</v>
      </c>
      <c r="U93" s="102">
        <f t="shared" si="6"/>
        <v>0</v>
      </c>
      <c r="V93" s="102">
        <f t="shared" si="6"/>
        <v>5.0999999999999996</v>
      </c>
      <c r="W93" s="102">
        <f t="shared" si="6"/>
        <v>0</v>
      </c>
      <c r="X93" s="102">
        <f t="shared" si="1"/>
        <v>243.53900000000002</v>
      </c>
      <c r="Y93" s="251"/>
    </row>
    <row r="94" spans="1:25" ht="94.5">
      <c r="A94" s="485" t="s">
        <v>144</v>
      </c>
      <c r="B94" s="484" t="s">
        <v>145</v>
      </c>
      <c r="C94" s="484" t="s">
        <v>146</v>
      </c>
      <c r="D94" s="174">
        <v>87</v>
      </c>
      <c r="E94" s="174" t="s">
        <v>147</v>
      </c>
      <c r="F94" s="271"/>
      <c r="G94" s="271"/>
      <c r="H94" s="271"/>
      <c r="I94" s="271"/>
      <c r="J94" s="278">
        <f t="shared" ref="J94:J105" si="7">H94+I94</f>
        <v>0</v>
      </c>
      <c r="K94" s="271"/>
      <c r="L94" s="279"/>
      <c r="M94" s="280"/>
      <c r="N94" s="279"/>
      <c r="O94" s="282">
        <v>20</v>
      </c>
      <c r="P94" s="123">
        <v>20</v>
      </c>
      <c r="Q94" s="313">
        <f>SUM(Q70:Q93)</f>
        <v>0</v>
      </c>
      <c r="R94" s="279"/>
      <c r="S94" s="280"/>
      <c r="T94" s="279"/>
      <c r="U94" s="280"/>
      <c r="V94" s="279"/>
      <c r="W94" s="281"/>
      <c r="X94" s="117">
        <f t="shared" si="1"/>
        <v>20</v>
      </c>
      <c r="Y94" s="225" t="s">
        <v>602</v>
      </c>
    </row>
    <row r="95" spans="1:25" ht="47.25">
      <c r="A95" s="469"/>
      <c r="B95" s="469"/>
      <c r="C95" s="469"/>
      <c r="D95" s="174">
        <v>88</v>
      </c>
      <c r="E95" s="174" t="s">
        <v>148</v>
      </c>
      <c r="F95" s="271"/>
      <c r="G95" s="271"/>
      <c r="H95" s="271"/>
      <c r="I95" s="271"/>
      <c r="J95" s="278">
        <f t="shared" si="7"/>
        <v>0</v>
      </c>
      <c r="K95" s="271"/>
      <c r="L95" s="279"/>
      <c r="M95" s="280"/>
      <c r="N95" s="279"/>
      <c r="O95" s="279"/>
      <c r="P95" s="279"/>
      <c r="Q95" s="280"/>
      <c r="R95" s="279"/>
      <c r="S95" s="283"/>
      <c r="T95" s="299">
        <f>8+10</f>
        <v>18</v>
      </c>
      <c r="U95" s="280"/>
      <c r="V95" s="279"/>
      <c r="W95" s="281"/>
      <c r="X95" s="117">
        <f t="shared" si="1"/>
        <v>18</v>
      </c>
      <c r="Y95" s="225" t="s">
        <v>1154</v>
      </c>
    </row>
    <row r="96" spans="1:25" ht="47.25">
      <c r="A96" s="469"/>
      <c r="B96" s="469"/>
      <c r="C96" s="469"/>
      <c r="D96" s="174">
        <v>89</v>
      </c>
      <c r="E96" s="174" t="s">
        <v>149</v>
      </c>
      <c r="F96" s="271"/>
      <c r="G96" s="271"/>
      <c r="H96" s="271"/>
      <c r="I96" s="271"/>
      <c r="J96" s="278">
        <f t="shared" si="7"/>
        <v>0</v>
      </c>
      <c r="K96" s="271"/>
      <c r="L96" s="279"/>
      <c r="M96" s="280"/>
      <c r="N96" s="279"/>
      <c r="O96" s="279"/>
      <c r="P96" s="279"/>
      <c r="Q96" s="280"/>
      <c r="R96" s="279"/>
      <c r="S96" s="280"/>
      <c r="T96" s="279"/>
      <c r="U96" s="280"/>
      <c r="V96" s="279"/>
      <c r="W96" s="281"/>
      <c r="X96" s="117">
        <f t="shared" si="1"/>
        <v>0</v>
      </c>
      <c r="Y96" s="225"/>
    </row>
    <row r="97" spans="1:25" ht="47.25">
      <c r="A97" s="469"/>
      <c r="B97" s="469"/>
      <c r="C97" s="469"/>
      <c r="D97" s="174">
        <v>90</v>
      </c>
      <c r="E97" s="174" t="s">
        <v>150</v>
      </c>
      <c r="F97" s="271"/>
      <c r="G97" s="271"/>
      <c r="H97" s="271"/>
      <c r="I97" s="271"/>
      <c r="J97" s="278">
        <f t="shared" si="7"/>
        <v>0</v>
      </c>
      <c r="K97" s="271"/>
      <c r="L97" s="279"/>
      <c r="M97" s="280"/>
      <c r="N97" s="279"/>
      <c r="O97" s="279"/>
      <c r="P97" s="279"/>
      <c r="Q97" s="280"/>
      <c r="R97" s="279"/>
      <c r="S97" s="283"/>
      <c r="T97" s="284"/>
      <c r="U97" s="280"/>
      <c r="V97" s="279"/>
      <c r="W97" s="281"/>
      <c r="X97" s="117">
        <f t="shared" si="1"/>
        <v>0</v>
      </c>
      <c r="Y97" s="225"/>
    </row>
    <row r="98" spans="1:25" ht="31.5">
      <c r="A98" s="469"/>
      <c r="B98" s="469"/>
      <c r="C98" s="469"/>
      <c r="D98" s="174">
        <v>91</v>
      </c>
      <c r="E98" s="174" t="s">
        <v>151</v>
      </c>
      <c r="F98" s="271"/>
      <c r="G98" s="271"/>
      <c r="H98" s="271"/>
      <c r="I98" s="271"/>
      <c r="J98" s="278">
        <f t="shared" si="7"/>
        <v>0</v>
      </c>
      <c r="K98" s="271"/>
      <c r="L98" s="279"/>
      <c r="M98" s="280"/>
      <c r="N98" s="279"/>
      <c r="O98" s="123">
        <v>0</v>
      </c>
      <c r="P98" s="282"/>
      <c r="Q98" s="280"/>
      <c r="R98" s="279"/>
      <c r="S98" s="283"/>
      <c r="T98" s="284"/>
      <c r="U98" s="280"/>
      <c r="V98" s="279"/>
      <c r="W98" s="281"/>
      <c r="X98" s="117">
        <f t="shared" si="1"/>
        <v>0</v>
      </c>
      <c r="Y98" s="226"/>
    </row>
    <row r="99" spans="1:25" ht="63">
      <c r="A99" s="469"/>
      <c r="B99" s="469"/>
      <c r="C99" s="469"/>
      <c r="D99" s="174">
        <v>92</v>
      </c>
      <c r="E99" s="174" t="s">
        <v>152</v>
      </c>
      <c r="F99" s="271"/>
      <c r="G99" s="271"/>
      <c r="H99" s="271"/>
      <c r="I99" s="271"/>
      <c r="J99" s="278">
        <f t="shared" si="7"/>
        <v>0</v>
      </c>
      <c r="K99" s="271"/>
      <c r="L99" s="279"/>
      <c r="M99" s="280"/>
      <c r="N99" s="279"/>
      <c r="O99" s="279"/>
      <c r="P99" s="279"/>
      <c r="Q99" s="280"/>
      <c r="R99" s="279"/>
      <c r="S99" s="283"/>
      <c r="T99" s="299">
        <v>2</v>
      </c>
      <c r="U99" s="280"/>
      <c r="V99" s="279"/>
      <c r="W99" s="281"/>
      <c r="X99" s="117">
        <f t="shared" si="1"/>
        <v>2</v>
      </c>
      <c r="Y99" s="231" t="s">
        <v>603</v>
      </c>
    </row>
    <row r="100" spans="1:25" ht="78.75">
      <c r="A100" s="469"/>
      <c r="B100" s="469"/>
      <c r="C100" s="469"/>
      <c r="D100" s="174">
        <v>93</v>
      </c>
      <c r="E100" s="174" t="s">
        <v>153</v>
      </c>
      <c r="F100" s="271"/>
      <c r="G100" s="271"/>
      <c r="H100" s="271"/>
      <c r="I100" s="271"/>
      <c r="J100" s="278">
        <f t="shared" si="7"/>
        <v>0</v>
      </c>
      <c r="K100" s="289"/>
      <c r="L100" s="299">
        <v>6.1</v>
      </c>
      <c r="M100" s="280"/>
      <c r="N100" s="279"/>
      <c r="O100" s="279"/>
      <c r="P100" s="279"/>
      <c r="Q100" s="280"/>
      <c r="R100" s="279"/>
      <c r="S100" s="280"/>
      <c r="T100" s="279"/>
      <c r="U100" s="280"/>
      <c r="V100" s="279"/>
      <c r="W100" s="281"/>
      <c r="X100" s="117">
        <f t="shared" si="1"/>
        <v>6.1</v>
      </c>
      <c r="Y100" s="227" t="s">
        <v>604</v>
      </c>
    </row>
    <row r="101" spans="1:25" ht="78.75">
      <c r="A101" s="469"/>
      <c r="B101" s="469"/>
      <c r="C101" s="469"/>
      <c r="D101" s="174">
        <v>94</v>
      </c>
      <c r="E101" s="174" t="s">
        <v>154</v>
      </c>
      <c r="F101" s="271"/>
      <c r="G101" s="271"/>
      <c r="H101" s="271"/>
      <c r="I101" s="271"/>
      <c r="J101" s="278">
        <f t="shared" si="7"/>
        <v>0</v>
      </c>
      <c r="K101" s="289"/>
      <c r="L101" s="299">
        <v>6.1</v>
      </c>
      <c r="M101" s="280"/>
      <c r="N101" s="279"/>
      <c r="O101" s="279"/>
      <c r="P101" s="279"/>
      <c r="Q101" s="280"/>
      <c r="R101" s="279"/>
      <c r="S101" s="280"/>
      <c r="T101" s="279"/>
      <c r="U101" s="280"/>
      <c r="V101" s="279"/>
      <c r="W101" s="281"/>
      <c r="X101" s="117">
        <f t="shared" si="1"/>
        <v>6.1</v>
      </c>
      <c r="Y101" s="231" t="s">
        <v>605</v>
      </c>
    </row>
    <row r="102" spans="1:25" ht="63">
      <c r="A102" s="469"/>
      <c r="B102" s="469"/>
      <c r="C102" s="469"/>
      <c r="D102" s="174">
        <v>95</v>
      </c>
      <c r="E102" s="174" t="s">
        <v>155</v>
      </c>
      <c r="F102" s="271"/>
      <c r="G102" s="271"/>
      <c r="H102" s="271"/>
      <c r="I102" s="289"/>
      <c r="J102" s="296">
        <f t="shared" si="7"/>
        <v>0</v>
      </c>
      <c r="K102" s="288"/>
      <c r="L102" s="123"/>
      <c r="M102" s="280"/>
      <c r="N102" s="279"/>
      <c r="O102" s="279"/>
      <c r="P102" s="279"/>
      <c r="Q102" s="280"/>
      <c r="R102" s="279"/>
      <c r="S102" s="280"/>
      <c r="T102" s="279"/>
      <c r="U102" s="280"/>
      <c r="V102" s="279"/>
      <c r="W102" s="281"/>
      <c r="X102" s="117">
        <f t="shared" si="1"/>
        <v>0</v>
      </c>
      <c r="Y102" s="135"/>
    </row>
    <row r="103" spans="1:25" ht="47.25">
      <c r="A103" s="469"/>
      <c r="B103" s="469"/>
      <c r="C103" s="469"/>
      <c r="D103" s="174">
        <v>96</v>
      </c>
      <c r="E103" s="174" t="s">
        <v>156</v>
      </c>
      <c r="F103" s="271"/>
      <c r="G103" s="271"/>
      <c r="H103" s="271"/>
      <c r="I103" s="271"/>
      <c r="J103" s="278">
        <f t="shared" si="7"/>
        <v>0</v>
      </c>
      <c r="K103" s="271"/>
      <c r="L103" s="279"/>
      <c r="M103" s="280"/>
      <c r="N103" s="279"/>
      <c r="O103" s="279"/>
      <c r="P103" s="279"/>
      <c r="Q103" s="280"/>
      <c r="R103" s="279"/>
      <c r="S103" s="280"/>
      <c r="T103" s="287">
        <v>1</v>
      </c>
      <c r="U103" s="280"/>
      <c r="V103" s="279"/>
      <c r="W103" s="281"/>
      <c r="X103" s="117">
        <f t="shared" si="1"/>
        <v>1</v>
      </c>
      <c r="Y103" s="97" t="s">
        <v>157</v>
      </c>
    </row>
    <row r="104" spans="1:25" ht="110.25">
      <c r="A104" s="469"/>
      <c r="B104" s="484" t="s">
        <v>158</v>
      </c>
      <c r="C104" s="484" t="s">
        <v>159</v>
      </c>
      <c r="D104" s="174">
        <v>97</v>
      </c>
      <c r="E104" s="174" t="s">
        <v>160</v>
      </c>
      <c r="F104" s="127"/>
      <c r="G104" s="127"/>
      <c r="H104" s="127"/>
      <c r="I104" s="127"/>
      <c r="J104" s="278">
        <f t="shared" si="7"/>
        <v>0</v>
      </c>
      <c r="K104" s="134"/>
      <c r="L104" s="123"/>
      <c r="M104" s="279"/>
      <c r="N104" s="279"/>
      <c r="O104" s="282"/>
      <c r="P104" s="282"/>
      <c r="Q104" s="282"/>
      <c r="R104" s="282"/>
      <c r="S104" s="284"/>
      <c r="T104" s="299">
        <v>10</v>
      </c>
      <c r="U104" s="279"/>
      <c r="V104" s="279"/>
      <c r="W104" s="281"/>
      <c r="X104" s="117">
        <f t="shared" si="1"/>
        <v>10</v>
      </c>
      <c r="Y104" s="135" t="s">
        <v>642</v>
      </c>
    </row>
    <row r="105" spans="1:25" ht="63">
      <c r="A105" s="469"/>
      <c r="B105" s="469"/>
      <c r="C105" s="469"/>
      <c r="D105" s="174">
        <v>98</v>
      </c>
      <c r="E105" s="174" t="s">
        <v>44</v>
      </c>
      <c r="F105" s="127"/>
      <c r="G105" s="127"/>
      <c r="H105" s="127"/>
      <c r="I105" s="127"/>
      <c r="J105" s="278">
        <f t="shared" si="7"/>
        <v>0</v>
      </c>
      <c r="K105" s="127"/>
      <c r="L105" s="279"/>
      <c r="M105" s="279"/>
      <c r="N105" s="279"/>
      <c r="O105" s="279"/>
      <c r="P105" s="279"/>
      <c r="Q105" s="279"/>
      <c r="R105" s="279"/>
      <c r="S105" s="279"/>
      <c r="T105" s="140">
        <v>0.36</v>
      </c>
      <c r="U105" s="140"/>
      <c r="V105" s="140"/>
      <c r="W105" s="117"/>
      <c r="X105" s="117">
        <f t="shared" si="1"/>
        <v>0.36</v>
      </c>
      <c r="Y105" s="97" t="s">
        <v>631</v>
      </c>
    </row>
    <row r="106" spans="1:25" ht="15.75">
      <c r="A106" s="469"/>
      <c r="B106" s="484" t="s">
        <v>161</v>
      </c>
      <c r="C106" s="484" t="s">
        <v>162</v>
      </c>
      <c r="D106" s="174">
        <v>99</v>
      </c>
      <c r="E106" s="174" t="s">
        <v>163</v>
      </c>
      <c r="F106" s="127"/>
      <c r="G106" s="127"/>
      <c r="H106" s="140"/>
      <c r="I106" s="314"/>
      <c r="J106" s="296"/>
      <c r="K106" s="134"/>
      <c r="L106" s="297"/>
      <c r="M106" s="279"/>
      <c r="N106" s="279"/>
      <c r="O106" s="282"/>
      <c r="P106" s="282"/>
      <c r="Q106" s="279"/>
      <c r="R106" s="279"/>
      <c r="S106" s="279"/>
      <c r="T106" s="279"/>
      <c r="U106" s="279"/>
      <c r="V106" s="279"/>
      <c r="W106" s="281"/>
      <c r="X106" s="117">
        <f t="shared" si="1"/>
        <v>0</v>
      </c>
      <c r="Y106" s="252"/>
    </row>
    <row r="107" spans="1:25" ht="31.5">
      <c r="A107" s="469"/>
      <c r="B107" s="469"/>
      <c r="C107" s="469"/>
      <c r="D107" s="174">
        <v>100</v>
      </c>
      <c r="E107" s="174" t="s">
        <v>165</v>
      </c>
      <c r="F107" s="127"/>
      <c r="G107" s="127"/>
      <c r="H107" s="127"/>
      <c r="I107" s="127"/>
      <c r="J107" s="278">
        <f t="shared" ref="J107:J130" si="8">H107+I107</f>
        <v>0</v>
      </c>
      <c r="K107" s="134"/>
      <c r="L107" s="282"/>
      <c r="M107" s="279"/>
      <c r="N107" s="279"/>
      <c r="O107" s="282"/>
      <c r="P107" s="282"/>
      <c r="Q107" s="279"/>
      <c r="R107" s="279"/>
      <c r="S107" s="279"/>
      <c r="T107" s="279"/>
      <c r="U107" s="279"/>
      <c r="V107" s="279"/>
      <c r="W107" s="281"/>
      <c r="X107" s="117">
        <f t="shared" si="1"/>
        <v>0</v>
      </c>
      <c r="Y107" s="252"/>
    </row>
    <row r="108" spans="1:25" ht="31.5">
      <c r="A108" s="469"/>
      <c r="B108" s="469"/>
      <c r="C108" s="469"/>
      <c r="D108" s="174">
        <v>101</v>
      </c>
      <c r="E108" s="174" t="s">
        <v>166</v>
      </c>
      <c r="F108" s="127"/>
      <c r="G108" s="127"/>
      <c r="H108" s="127"/>
      <c r="I108" s="127"/>
      <c r="J108" s="278">
        <f t="shared" si="8"/>
        <v>0</v>
      </c>
      <c r="K108" s="127"/>
      <c r="L108" s="279"/>
      <c r="M108" s="279"/>
      <c r="N108" s="279"/>
      <c r="O108" s="279"/>
      <c r="P108" s="279"/>
      <c r="Q108" s="279"/>
      <c r="R108" s="279"/>
      <c r="S108" s="279"/>
      <c r="T108" s="279"/>
      <c r="U108" s="279"/>
      <c r="V108" s="279"/>
      <c r="W108" s="281"/>
      <c r="X108" s="117">
        <f t="shared" si="1"/>
        <v>0</v>
      </c>
      <c r="Y108" s="245"/>
    </row>
    <row r="109" spans="1:25" ht="78.75">
      <c r="A109" s="469"/>
      <c r="B109" s="469"/>
      <c r="C109" s="469"/>
      <c r="D109" s="174">
        <v>102</v>
      </c>
      <c r="E109" s="174" t="s">
        <v>167</v>
      </c>
      <c r="F109" s="127"/>
      <c r="G109" s="127"/>
      <c r="H109" s="127"/>
      <c r="I109" s="127"/>
      <c r="J109" s="278">
        <f t="shared" si="8"/>
        <v>0</v>
      </c>
      <c r="K109" s="127"/>
      <c r="L109" s="279"/>
      <c r="M109" s="279"/>
      <c r="N109" s="279"/>
      <c r="O109" s="279"/>
      <c r="P109" s="279"/>
      <c r="Q109" s="279"/>
      <c r="R109" s="279"/>
      <c r="S109" s="279"/>
      <c r="T109" s="279">
        <v>2.0499999999999998</v>
      </c>
      <c r="U109" s="279"/>
      <c r="V109" s="279"/>
      <c r="W109" s="281"/>
      <c r="X109" s="117">
        <f t="shared" si="1"/>
        <v>2.0499999999999998</v>
      </c>
      <c r="Y109" s="97" t="s">
        <v>644</v>
      </c>
    </row>
    <row r="110" spans="1:25" ht="31.5">
      <c r="A110" s="469"/>
      <c r="B110" s="469"/>
      <c r="C110" s="469"/>
      <c r="D110" s="174">
        <v>103</v>
      </c>
      <c r="E110" s="174" t="s">
        <v>44</v>
      </c>
      <c r="F110" s="127"/>
      <c r="G110" s="127"/>
      <c r="H110" s="127"/>
      <c r="I110" s="127"/>
      <c r="J110" s="278">
        <f t="shared" si="8"/>
        <v>0</v>
      </c>
      <c r="K110" s="127"/>
      <c r="L110" s="279"/>
      <c r="M110" s="279"/>
      <c r="N110" s="279"/>
      <c r="O110" s="279"/>
      <c r="P110" s="279"/>
      <c r="Q110" s="279"/>
      <c r="R110" s="279"/>
      <c r="S110" s="284"/>
      <c r="T110" s="286"/>
      <c r="U110" s="284"/>
      <c r="V110" s="284"/>
      <c r="W110" s="281"/>
      <c r="X110" s="117">
        <f t="shared" si="1"/>
        <v>0</v>
      </c>
      <c r="Y110" s="135"/>
    </row>
    <row r="111" spans="1:25" ht="31.5">
      <c r="A111" s="469"/>
      <c r="B111" s="484" t="s">
        <v>168</v>
      </c>
      <c r="C111" s="484" t="s">
        <v>169</v>
      </c>
      <c r="D111" s="174">
        <v>104</v>
      </c>
      <c r="E111" s="174" t="s">
        <v>170</v>
      </c>
      <c r="F111" s="127"/>
      <c r="G111" s="127"/>
      <c r="H111" s="127"/>
      <c r="I111" s="127"/>
      <c r="J111" s="278">
        <f t="shared" si="8"/>
        <v>0</v>
      </c>
      <c r="K111" s="127"/>
      <c r="L111" s="279"/>
      <c r="M111" s="279"/>
      <c r="N111" s="279"/>
      <c r="O111" s="279"/>
      <c r="P111" s="279"/>
      <c r="Q111" s="279"/>
      <c r="R111" s="279"/>
      <c r="S111" s="284"/>
      <c r="T111" s="284"/>
      <c r="U111" s="284"/>
      <c r="V111" s="284"/>
      <c r="W111" s="281"/>
      <c r="X111" s="117">
        <f t="shared" si="1"/>
        <v>0</v>
      </c>
      <c r="Y111" s="135"/>
    </row>
    <row r="112" spans="1:25" ht="141.75">
      <c r="A112" s="469"/>
      <c r="B112" s="469"/>
      <c r="C112" s="469"/>
      <c r="D112" s="174">
        <v>105</v>
      </c>
      <c r="E112" s="174" t="s">
        <v>171</v>
      </c>
      <c r="F112" s="127"/>
      <c r="G112" s="127"/>
      <c r="H112" s="127"/>
      <c r="I112" s="127"/>
      <c r="J112" s="278">
        <f t="shared" si="8"/>
        <v>0</v>
      </c>
      <c r="K112" s="127"/>
      <c r="L112" s="279"/>
      <c r="M112" s="279"/>
      <c r="N112" s="279"/>
      <c r="O112" s="279"/>
      <c r="P112" s="279"/>
      <c r="Q112" s="279"/>
      <c r="R112" s="279"/>
      <c r="S112" s="282"/>
      <c r="T112" s="123">
        <v>2</v>
      </c>
      <c r="U112" s="279"/>
      <c r="V112" s="279"/>
      <c r="W112" s="281"/>
      <c r="X112" s="117">
        <f t="shared" si="1"/>
        <v>2</v>
      </c>
      <c r="Y112" s="97" t="s">
        <v>633</v>
      </c>
    </row>
    <row r="113" spans="1:25" ht="15.75">
      <c r="A113" s="469"/>
      <c r="B113" s="469"/>
      <c r="C113" s="469"/>
      <c r="D113" s="174">
        <v>106</v>
      </c>
      <c r="E113" s="174" t="s">
        <v>172</v>
      </c>
      <c r="F113" s="127"/>
      <c r="G113" s="127"/>
      <c r="H113" s="127"/>
      <c r="I113" s="127"/>
      <c r="J113" s="278">
        <f t="shared" si="8"/>
        <v>0</v>
      </c>
      <c r="K113" s="134"/>
      <c r="L113" s="282"/>
      <c r="M113" s="279"/>
      <c r="N113" s="279"/>
      <c r="O113" s="282"/>
      <c r="P113" s="282"/>
      <c r="Q113" s="279"/>
      <c r="R113" s="279"/>
      <c r="S113" s="284"/>
      <c r="T113" s="284"/>
      <c r="U113" s="279"/>
      <c r="V113" s="279"/>
      <c r="W113" s="281"/>
      <c r="X113" s="117">
        <f t="shared" si="1"/>
        <v>0</v>
      </c>
      <c r="Y113" s="135"/>
    </row>
    <row r="114" spans="1:25" ht="62.25" customHeight="1">
      <c r="A114" s="469"/>
      <c r="B114" s="484" t="s">
        <v>173</v>
      </c>
      <c r="C114" s="484" t="s">
        <v>174</v>
      </c>
      <c r="D114" s="174">
        <v>107</v>
      </c>
      <c r="E114" s="174" t="s">
        <v>175</v>
      </c>
      <c r="F114" s="127"/>
      <c r="G114" s="127"/>
      <c r="H114" s="127"/>
      <c r="I114" s="127"/>
      <c r="J114" s="278">
        <f t="shared" si="8"/>
        <v>0</v>
      </c>
      <c r="K114" s="134"/>
      <c r="L114" s="282"/>
      <c r="M114" s="279"/>
      <c r="N114" s="279"/>
      <c r="O114" s="282"/>
      <c r="P114" s="282"/>
      <c r="Q114" s="279"/>
      <c r="R114" s="279"/>
      <c r="S114" s="284"/>
      <c r="T114" s="299"/>
      <c r="U114" s="279"/>
      <c r="V114" s="279"/>
      <c r="W114" s="281"/>
      <c r="X114" s="117">
        <f t="shared" si="1"/>
        <v>0</v>
      </c>
      <c r="Y114" s="135"/>
    </row>
    <row r="115" spans="1:25" ht="39" customHeight="1">
      <c r="A115" s="469"/>
      <c r="B115" s="469"/>
      <c r="C115" s="469"/>
      <c r="D115" s="174">
        <v>108</v>
      </c>
      <c r="E115" s="174" t="s">
        <v>176</v>
      </c>
      <c r="F115" s="127"/>
      <c r="G115" s="127"/>
      <c r="H115" s="127"/>
      <c r="I115" s="127"/>
      <c r="J115" s="278">
        <f t="shared" si="8"/>
        <v>0</v>
      </c>
      <c r="K115" s="134"/>
      <c r="L115" s="282"/>
      <c r="M115" s="279"/>
      <c r="N115" s="279"/>
      <c r="O115" s="282"/>
      <c r="P115" s="282"/>
      <c r="Q115" s="279"/>
      <c r="R115" s="279"/>
      <c r="S115" s="284"/>
      <c r="T115" s="286"/>
      <c r="U115" s="279"/>
      <c r="V115" s="279"/>
      <c r="W115" s="281"/>
      <c r="X115" s="117">
        <f t="shared" si="1"/>
        <v>0</v>
      </c>
      <c r="Y115" s="135"/>
    </row>
    <row r="116" spans="1:25" ht="36" customHeight="1">
      <c r="A116" s="469"/>
      <c r="B116" s="469"/>
      <c r="C116" s="469"/>
      <c r="D116" s="174">
        <v>109</v>
      </c>
      <c r="E116" s="174" t="s">
        <v>177</v>
      </c>
      <c r="F116" s="127"/>
      <c r="G116" s="127"/>
      <c r="H116" s="127"/>
      <c r="I116" s="314"/>
      <c r="J116" s="296">
        <f t="shared" si="8"/>
        <v>0</v>
      </c>
      <c r="K116" s="134"/>
      <c r="L116" s="282">
        <v>1</v>
      </c>
      <c r="M116" s="279"/>
      <c r="N116" s="279"/>
      <c r="O116" s="282"/>
      <c r="P116" s="282"/>
      <c r="Q116" s="279"/>
      <c r="R116" s="279"/>
      <c r="S116" s="279"/>
      <c r="T116" s="279"/>
      <c r="U116" s="279"/>
      <c r="V116" s="279"/>
      <c r="W116" s="281"/>
      <c r="X116" s="117">
        <f t="shared" si="1"/>
        <v>1</v>
      </c>
      <c r="Y116" s="245" t="s">
        <v>634</v>
      </c>
    </row>
    <row r="117" spans="1:25" ht="31.5">
      <c r="A117" s="469"/>
      <c r="B117" s="469"/>
      <c r="C117" s="469"/>
      <c r="D117" s="174">
        <v>110</v>
      </c>
      <c r="E117" s="174" t="s">
        <v>178</v>
      </c>
      <c r="F117" s="127"/>
      <c r="G117" s="127"/>
      <c r="H117" s="127"/>
      <c r="I117" s="127"/>
      <c r="J117" s="278">
        <f t="shared" si="8"/>
        <v>0</v>
      </c>
      <c r="K117" s="134"/>
      <c r="L117" s="282"/>
      <c r="M117" s="279"/>
      <c r="N117" s="279"/>
      <c r="O117" s="282"/>
      <c r="P117" s="282"/>
      <c r="Q117" s="284"/>
      <c r="R117" s="284"/>
      <c r="S117" s="282"/>
      <c r="T117" s="282"/>
      <c r="U117" s="279"/>
      <c r="V117" s="279"/>
      <c r="W117" s="281"/>
      <c r="X117" s="117">
        <f t="shared" si="1"/>
        <v>0</v>
      </c>
      <c r="Y117" s="97"/>
    </row>
    <row r="118" spans="1:25" ht="31.5" hidden="1">
      <c r="A118" s="469"/>
      <c r="B118" s="469"/>
      <c r="C118" s="469"/>
      <c r="D118" s="174">
        <v>111</v>
      </c>
      <c r="E118" s="174" t="s">
        <v>44</v>
      </c>
      <c r="F118" s="127"/>
      <c r="G118" s="127"/>
      <c r="H118" s="127"/>
      <c r="I118" s="127"/>
      <c r="J118" s="278">
        <f t="shared" si="8"/>
        <v>0</v>
      </c>
      <c r="K118" s="314"/>
      <c r="L118" s="284"/>
      <c r="M118" s="279"/>
      <c r="N118" s="279"/>
      <c r="O118" s="284"/>
      <c r="P118" s="284"/>
      <c r="Q118" s="279"/>
      <c r="R118" s="279"/>
      <c r="S118" s="284"/>
      <c r="T118" s="284"/>
      <c r="U118" s="284"/>
      <c r="V118" s="284"/>
      <c r="W118" s="281"/>
      <c r="X118" s="117">
        <f t="shared" si="1"/>
        <v>0</v>
      </c>
      <c r="Y118" s="252"/>
    </row>
    <row r="119" spans="1:25" ht="15.75">
      <c r="A119" s="469"/>
      <c r="B119" s="484" t="s">
        <v>179</v>
      </c>
      <c r="C119" s="484" t="s">
        <v>180</v>
      </c>
      <c r="D119" s="174">
        <v>112</v>
      </c>
      <c r="E119" s="174" t="s">
        <v>181</v>
      </c>
      <c r="F119" s="127"/>
      <c r="G119" s="127"/>
      <c r="H119" s="127"/>
      <c r="I119" s="127"/>
      <c r="J119" s="278">
        <f t="shared" si="8"/>
        <v>0</v>
      </c>
      <c r="K119" s="134"/>
      <c r="L119" s="282"/>
      <c r="M119" s="279"/>
      <c r="N119" s="279"/>
      <c r="O119" s="282"/>
      <c r="P119" s="282"/>
      <c r="Q119" s="279"/>
      <c r="R119" s="279"/>
      <c r="S119" s="279"/>
      <c r="T119" s="279"/>
      <c r="U119" s="279"/>
      <c r="V119" s="279"/>
      <c r="W119" s="281"/>
      <c r="X119" s="117">
        <f t="shared" si="1"/>
        <v>0</v>
      </c>
      <c r="Y119" s="245"/>
    </row>
    <row r="120" spans="1:25" ht="31.5">
      <c r="A120" s="469"/>
      <c r="B120" s="469"/>
      <c r="C120" s="469"/>
      <c r="D120" s="174">
        <v>113</v>
      </c>
      <c r="E120" s="174" t="s">
        <v>182</v>
      </c>
      <c r="F120" s="127"/>
      <c r="G120" s="127"/>
      <c r="H120" s="127"/>
      <c r="I120" s="127"/>
      <c r="J120" s="278">
        <f t="shared" si="8"/>
        <v>0</v>
      </c>
      <c r="K120" s="134"/>
      <c r="L120" s="282"/>
      <c r="M120" s="279"/>
      <c r="N120" s="279"/>
      <c r="O120" s="282"/>
      <c r="P120" s="282"/>
      <c r="Q120" s="282"/>
      <c r="R120" s="282"/>
      <c r="S120" s="279"/>
      <c r="T120" s="279"/>
      <c r="U120" s="279"/>
      <c r="V120" s="279"/>
      <c r="W120" s="281"/>
      <c r="X120" s="117">
        <f t="shared" si="1"/>
        <v>0</v>
      </c>
      <c r="Y120" s="252"/>
    </row>
    <row r="121" spans="1:25" ht="141.75">
      <c r="A121" s="469"/>
      <c r="B121" s="174" t="s">
        <v>183</v>
      </c>
      <c r="C121" s="174" t="s">
        <v>184</v>
      </c>
      <c r="D121" s="174">
        <v>114</v>
      </c>
      <c r="E121" s="174" t="s">
        <v>185</v>
      </c>
      <c r="F121" s="127"/>
      <c r="G121" s="127"/>
      <c r="H121" s="127"/>
      <c r="I121" s="314">
        <v>11</v>
      </c>
      <c r="J121" s="296">
        <f t="shared" si="8"/>
        <v>11</v>
      </c>
      <c r="K121" s="127"/>
      <c r="L121" s="285">
        <v>0.6</v>
      </c>
      <c r="M121" s="279"/>
      <c r="N121" s="279"/>
      <c r="O121" s="279"/>
      <c r="P121" s="279"/>
      <c r="Q121" s="279"/>
      <c r="R121" s="279"/>
      <c r="S121" s="279"/>
      <c r="T121" s="285">
        <v>3.5</v>
      </c>
      <c r="U121" s="284"/>
      <c r="V121" s="284"/>
      <c r="W121" s="281"/>
      <c r="X121" s="117">
        <f t="shared" si="1"/>
        <v>15.1</v>
      </c>
      <c r="Y121" s="135" t="s">
        <v>635</v>
      </c>
    </row>
    <row r="122" spans="1:25" ht="31.5">
      <c r="A122" s="469"/>
      <c r="B122" s="484" t="s">
        <v>186</v>
      </c>
      <c r="C122" s="484" t="s">
        <v>187</v>
      </c>
      <c r="D122" s="174">
        <v>115</v>
      </c>
      <c r="E122" s="174" t="s">
        <v>188</v>
      </c>
      <c r="F122" s="127"/>
      <c r="G122" s="127"/>
      <c r="H122" s="127"/>
      <c r="I122" s="127"/>
      <c r="J122" s="278">
        <f t="shared" si="8"/>
        <v>0</v>
      </c>
      <c r="K122" s="127"/>
      <c r="L122" s="279"/>
      <c r="M122" s="279"/>
      <c r="N122" s="279"/>
      <c r="O122" s="279"/>
      <c r="P122" s="279"/>
      <c r="Q122" s="282"/>
      <c r="R122" s="297"/>
      <c r="S122" s="279"/>
      <c r="T122" s="279">
        <v>1.5</v>
      </c>
      <c r="U122" s="279"/>
      <c r="V122" s="279"/>
      <c r="W122" s="281"/>
      <c r="X122" s="117">
        <f t="shared" si="1"/>
        <v>1.5</v>
      </c>
      <c r="Y122" s="135" t="s">
        <v>636</v>
      </c>
    </row>
    <row r="123" spans="1:25" ht="47.25">
      <c r="A123" s="469"/>
      <c r="B123" s="469"/>
      <c r="C123" s="469"/>
      <c r="D123" s="174">
        <v>116</v>
      </c>
      <c r="E123" s="174" t="s">
        <v>189</v>
      </c>
      <c r="F123" s="127"/>
      <c r="G123" s="127"/>
      <c r="H123" s="127"/>
      <c r="I123" s="127"/>
      <c r="J123" s="278">
        <f t="shared" si="8"/>
        <v>0</v>
      </c>
      <c r="K123" s="127"/>
      <c r="L123" s="279"/>
      <c r="M123" s="279"/>
      <c r="N123" s="279"/>
      <c r="O123" s="279"/>
      <c r="P123" s="279"/>
      <c r="Q123" s="282"/>
      <c r="R123" s="297">
        <v>4.75</v>
      </c>
      <c r="S123" s="279"/>
      <c r="T123" s="279"/>
      <c r="U123" s="279"/>
      <c r="V123" s="279"/>
      <c r="W123" s="281"/>
      <c r="X123" s="117">
        <f t="shared" si="1"/>
        <v>4.75</v>
      </c>
      <c r="Y123" s="135" t="s">
        <v>645</v>
      </c>
    </row>
    <row r="124" spans="1:25" ht="31.5">
      <c r="A124" s="469"/>
      <c r="B124" s="469"/>
      <c r="C124" s="469"/>
      <c r="D124" s="174">
        <v>117</v>
      </c>
      <c r="E124" s="174" t="s">
        <v>190</v>
      </c>
      <c r="F124" s="127"/>
      <c r="G124" s="127"/>
      <c r="H124" s="127"/>
      <c r="I124" s="127"/>
      <c r="J124" s="278">
        <f t="shared" si="8"/>
        <v>0</v>
      </c>
      <c r="K124" s="127"/>
      <c r="L124" s="279"/>
      <c r="M124" s="279"/>
      <c r="N124" s="279"/>
      <c r="O124" s="279"/>
      <c r="P124" s="279"/>
      <c r="Q124" s="279"/>
      <c r="R124" s="279"/>
      <c r="S124" s="279"/>
      <c r="T124" s="279"/>
      <c r="U124" s="279"/>
      <c r="V124" s="279"/>
      <c r="W124" s="282"/>
      <c r="X124" s="117">
        <f t="shared" si="1"/>
        <v>0</v>
      </c>
      <c r="Y124" s="97"/>
    </row>
    <row r="125" spans="1:25" ht="31.5" hidden="1">
      <c r="A125" s="469"/>
      <c r="B125" s="469"/>
      <c r="C125" s="469"/>
      <c r="D125" s="174">
        <v>118</v>
      </c>
      <c r="E125" s="174" t="s">
        <v>44</v>
      </c>
      <c r="F125" s="127"/>
      <c r="G125" s="127"/>
      <c r="H125" s="127"/>
      <c r="I125" s="127"/>
      <c r="J125" s="278">
        <f t="shared" si="8"/>
        <v>0</v>
      </c>
      <c r="K125" s="127"/>
      <c r="L125" s="279"/>
      <c r="M125" s="279"/>
      <c r="N125" s="279"/>
      <c r="O125" s="279"/>
      <c r="P125" s="279"/>
      <c r="Q125" s="279"/>
      <c r="R125" s="279"/>
      <c r="S125" s="279"/>
      <c r="T125" s="279"/>
      <c r="U125" s="279"/>
      <c r="V125" s="279"/>
      <c r="W125" s="282"/>
      <c r="X125" s="117">
        <f t="shared" si="1"/>
        <v>0</v>
      </c>
      <c r="Y125" s="97"/>
    </row>
    <row r="126" spans="1:25" ht="94.5">
      <c r="A126" s="469"/>
      <c r="B126" s="174" t="s">
        <v>191</v>
      </c>
      <c r="C126" s="174" t="s">
        <v>192</v>
      </c>
      <c r="D126" s="174">
        <v>119</v>
      </c>
      <c r="E126" s="174" t="s">
        <v>193</v>
      </c>
      <c r="F126" s="127"/>
      <c r="G126" s="127"/>
      <c r="H126" s="127"/>
      <c r="I126" s="314"/>
      <c r="J126" s="296">
        <f t="shared" si="8"/>
        <v>0</v>
      </c>
      <c r="K126" s="134"/>
      <c r="L126" s="282"/>
      <c r="M126" s="279"/>
      <c r="N126" s="279"/>
      <c r="O126" s="279"/>
      <c r="P126" s="279"/>
      <c r="Q126" s="279"/>
      <c r="R126" s="279"/>
      <c r="S126" s="284"/>
      <c r="T126" s="299">
        <v>5</v>
      </c>
      <c r="U126" s="279"/>
      <c r="V126" s="287">
        <v>0</v>
      </c>
      <c r="W126" s="281"/>
      <c r="X126" s="117">
        <f t="shared" si="1"/>
        <v>5</v>
      </c>
      <c r="Y126" s="135" t="s">
        <v>638</v>
      </c>
    </row>
    <row r="127" spans="1:25" ht="126">
      <c r="A127" s="469"/>
      <c r="B127" s="174" t="s">
        <v>194</v>
      </c>
      <c r="C127" s="174" t="s">
        <v>195</v>
      </c>
      <c r="D127" s="174">
        <v>120</v>
      </c>
      <c r="E127" s="174" t="s">
        <v>196</v>
      </c>
      <c r="F127" s="127"/>
      <c r="G127" s="127"/>
      <c r="H127" s="127"/>
      <c r="I127" s="127"/>
      <c r="J127" s="278">
        <f t="shared" si="8"/>
        <v>0</v>
      </c>
      <c r="K127" s="127"/>
      <c r="L127" s="279"/>
      <c r="M127" s="279"/>
      <c r="N127" s="279"/>
      <c r="O127" s="284"/>
      <c r="P127" s="286"/>
      <c r="Q127" s="284"/>
      <c r="R127" s="286">
        <v>1.68</v>
      </c>
      <c r="S127" s="284"/>
      <c r="T127" s="284"/>
      <c r="U127" s="279"/>
      <c r="V127" s="279"/>
      <c r="W127" s="281"/>
      <c r="X127" s="117">
        <f t="shared" si="1"/>
        <v>1.68</v>
      </c>
      <c r="Y127" s="97" t="s">
        <v>646</v>
      </c>
    </row>
    <row r="128" spans="1:25" ht="126">
      <c r="A128" s="469"/>
      <c r="B128" s="484" t="s">
        <v>197</v>
      </c>
      <c r="C128" s="484" t="s">
        <v>198</v>
      </c>
      <c r="D128" s="174">
        <v>121</v>
      </c>
      <c r="E128" s="174" t="s">
        <v>199</v>
      </c>
      <c r="F128" s="127"/>
      <c r="G128" s="127"/>
      <c r="H128" s="127"/>
      <c r="I128" s="127"/>
      <c r="J128" s="278">
        <f t="shared" si="8"/>
        <v>0</v>
      </c>
      <c r="K128" s="134"/>
      <c r="L128" s="123">
        <v>0</v>
      </c>
      <c r="M128" s="279"/>
      <c r="N128" s="287">
        <v>0</v>
      </c>
      <c r="O128" s="287">
        <v>0</v>
      </c>
      <c r="P128" s="287">
        <v>0</v>
      </c>
      <c r="Q128" s="279"/>
      <c r="R128" s="287">
        <v>0</v>
      </c>
      <c r="S128" s="279"/>
      <c r="T128" s="287">
        <v>0</v>
      </c>
      <c r="U128" s="279"/>
      <c r="V128" s="287">
        <v>0</v>
      </c>
      <c r="W128" s="281"/>
      <c r="X128" s="117">
        <f t="shared" si="1"/>
        <v>0</v>
      </c>
      <c r="Y128" s="135" t="s">
        <v>354</v>
      </c>
    </row>
    <row r="129" spans="1:26" ht="31.5">
      <c r="A129" s="469"/>
      <c r="B129" s="469"/>
      <c r="C129" s="469"/>
      <c r="D129" s="174">
        <v>122</v>
      </c>
      <c r="E129" s="174" t="s">
        <v>200</v>
      </c>
      <c r="F129" s="127"/>
      <c r="G129" s="127"/>
      <c r="H129" s="127"/>
      <c r="I129" s="127"/>
      <c r="J129" s="278">
        <f t="shared" si="8"/>
        <v>0</v>
      </c>
      <c r="K129" s="127"/>
      <c r="L129" s="287">
        <v>0</v>
      </c>
      <c r="M129" s="279"/>
      <c r="N129" s="287">
        <v>0</v>
      </c>
      <c r="O129" s="287">
        <v>0</v>
      </c>
      <c r="P129" s="287">
        <v>0</v>
      </c>
      <c r="Q129" s="279"/>
      <c r="R129" s="287">
        <v>0</v>
      </c>
      <c r="S129" s="279"/>
      <c r="T129" s="287">
        <v>0</v>
      </c>
      <c r="U129" s="279"/>
      <c r="V129" s="287">
        <v>0</v>
      </c>
      <c r="W129" s="281"/>
      <c r="X129" s="117">
        <f t="shared" si="1"/>
        <v>0</v>
      </c>
      <c r="Y129" s="252"/>
    </row>
    <row r="130" spans="1:26" ht="25.5" hidden="1" customHeight="1">
      <c r="A130" s="469"/>
      <c r="B130" s="469"/>
      <c r="C130" s="469"/>
      <c r="D130" s="174">
        <v>123</v>
      </c>
      <c r="E130" s="174" t="s">
        <v>201</v>
      </c>
      <c r="F130" s="127"/>
      <c r="G130" s="127"/>
      <c r="H130" s="127"/>
      <c r="I130" s="127"/>
      <c r="J130" s="278">
        <f t="shared" si="8"/>
        <v>0</v>
      </c>
      <c r="K130" s="127"/>
      <c r="L130" s="287">
        <v>0</v>
      </c>
      <c r="M130" s="279"/>
      <c r="N130" s="287">
        <v>0</v>
      </c>
      <c r="O130" s="287">
        <v>0</v>
      </c>
      <c r="P130" s="287">
        <v>0</v>
      </c>
      <c r="Q130" s="279"/>
      <c r="R130" s="287">
        <v>0</v>
      </c>
      <c r="S130" s="284"/>
      <c r="T130" s="284"/>
      <c r="U130" s="279"/>
      <c r="V130" s="287">
        <v>0</v>
      </c>
      <c r="W130" s="281"/>
      <c r="X130" s="117">
        <f t="shared" si="1"/>
        <v>0</v>
      </c>
      <c r="Y130" s="98" t="s">
        <v>355</v>
      </c>
    </row>
    <row r="131" spans="1:26" ht="15.75">
      <c r="A131" s="469"/>
      <c r="B131" s="484" t="s">
        <v>202</v>
      </c>
      <c r="C131" s="484" t="s">
        <v>203</v>
      </c>
      <c r="D131" s="174">
        <v>124</v>
      </c>
      <c r="E131" s="174" t="s">
        <v>204</v>
      </c>
      <c r="F131" s="127"/>
      <c r="G131" s="127"/>
      <c r="H131" s="127"/>
      <c r="I131" s="314"/>
      <c r="J131" s="289"/>
      <c r="K131" s="127"/>
      <c r="L131" s="279"/>
      <c r="M131" s="279"/>
      <c r="N131" s="279"/>
      <c r="O131" s="279"/>
      <c r="P131" s="279"/>
      <c r="Q131" s="279"/>
      <c r="R131" s="279"/>
      <c r="S131" s="279"/>
      <c r="T131" s="279"/>
      <c r="U131" s="279"/>
      <c r="V131" s="279"/>
      <c r="W131" s="281"/>
      <c r="X131" s="117">
        <f t="shared" si="1"/>
        <v>0</v>
      </c>
      <c r="Y131" s="135"/>
    </row>
    <row r="132" spans="1:26" ht="46.5" customHeight="1">
      <c r="A132" s="469"/>
      <c r="B132" s="469"/>
      <c r="C132" s="469"/>
      <c r="D132" s="174">
        <v>125</v>
      </c>
      <c r="E132" s="174" t="s">
        <v>205</v>
      </c>
      <c r="F132" s="127"/>
      <c r="G132" s="127"/>
      <c r="H132" s="127"/>
      <c r="I132" s="314"/>
      <c r="J132" s="289"/>
      <c r="K132" s="127"/>
      <c r="L132" s="279"/>
      <c r="M132" s="279"/>
      <c r="N132" s="279"/>
      <c r="O132" s="279"/>
      <c r="P132" s="279"/>
      <c r="Q132" s="279"/>
      <c r="R132" s="279"/>
      <c r="S132" s="279"/>
      <c r="T132" s="279"/>
      <c r="U132" s="279"/>
      <c r="V132" s="279"/>
      <c r="W132" s="281"/>
      <c r="X132" s="117">
        <f t="shared" si="1"/>
        <v>0</v>
      </c>
      <c r="Y132" s="135"/>
    </row>
    <row r="133" spans="1:26" ht="57.75" hidden="1" customHeight="1">
      <c r="A133" s="469"/>
      <c r="B133" s="174" t="s">
        <v>206</v>
      </c>
      <c r="C133" s="174" t="s">
        <v>207</v>
      </c>
      <c r="D133" s="174">
        <v>126</v>
      </c>
      <c r="E133" s="174" t="s">
        <v>142</v>
      </c>
      <c r="F133" s="271"/>
      <c r="G133" s="271"/>
      <c r="H133" s="271"/>
      <c r="I133" s="271"/>
      <c r="J133" s="278">
        <f>H133+I133</f>
        <v>0</v>
      </c>
      <c r="K133" s="271"/>
      <c r="L133" s="279"/>
      <c r="M133" s="280"/>
      <c r="N133" s="279"/>
      <c r="O133" s="279"/>
      <c r="P133" s="279"/>
      <c r="Q133" s="280"/>
      <c r="R133" s="279"/>
      <c r="S133" s="280"/>
      <c r="T133" s="279"/>
      <c r="U133" s="280"/>
      <c r="V133" s="279"/>
      <c r="W133" s="281"/>
      <c r="X133" s="117">
        <f t="shared" si="1"/>
        <v>0</v>
      </c>
      <c r="Y133" s="252"/>
    </row>
    <row r="134" spans="1:26" ht="26.25" customHeight="1">
      <c r="A134" s="469"/>
      <c r="B134" s="484" t="s">
        <v>208</v>
      </c>
      <c r="C134" s="469"/>
      <c r="D134" s="469"/>
      <c r="E134" s="271"/>
      <c r="F134" s="100">
        <f t="shared" ref="F134:W134" si="9">SUM(F94:F133)</f>
        <v>0</v>
      </c>
      <c r="G134" s="100">
        <f t="shared" si="9"/>
        <v>0</v>
      </c>
      <c r="H134" s="100">
        <f t="shared" si="9"/>
        <v>0</v>
      </c>
      <c r="I134" s="100">
        <f t="shared" si="9"/>
        <v>11</v>
      </c>
      <c r="J134" s="100">
        <f t="shared" si="9"/>
        <v>11</v>
      </c>
      <c r="K134" s="100">
        <f t="shared" si="9"/>
        <v>0</v>
      </c>
      <c r="L134" s="100">
        <f t="shared" si="9"/>
        <v>13.799999999999999</v>
      </c>
      <c r="M134" s="100">
        <f t="shared" si="9"/>
        <v>0</v>
      </c>
      <c r="N134" s="100">
        <f t="shared" si="9"/>
        <v>0</v>
      </c>
      <c r="O134" s="102">
        <f t="shared" si="9"/>
        <v>20</v>
      </c>
      <c r="P134" s="102">
        <f t="shared" si="9"/>
        <v>20</v>
      </c>
      <c r="Q134" s="102">
        <f t="shared" si="9"/>
        <v>0</v>
      </c>
      <c r="R134" s="100">
        <f t="shared" si="9"/>
        <v>6.43</v>
      </c>
      <c r="S134" s="100">
        <f t="shared" si="9"/>
        <v>0</v>
      </c>
      <c r="T134" s="100">
        <f t="shared" si="9"/>
        <v>45.41</v>
      </c>
      <c r="U134" s="100">
        <f t="shared" si="9"/>
        <v>0</v>
      </c>
      <c r="V134" s="100">
        <f t="shared" si="9"/>
        <v>0</v>
      </c>
      <c r="W134" s="102">
        <f t="shared" si="9"/>
        <v>0</v>
      </c>
      <c r="X134" s="100">
        <f t="shared" si="1"/>
        <v>96.639999999999986</v>
      </c>
      <c r="Y134" s="330"/>
    </row>
    <row r="135" spans="1:26" ht="63">
      <c r="A135" s="485" t="s">
        <v>209</v>
      </c>
      <c r="B135" s="484" t="s">
        <v>210</v>
      </c>
      <c r="C135" s="484" t="s">
        <v>211</v>
      </c>
      <c r="D135" s="174">
        <v>127</v>
      </c>
      <c r="E135" s="174" t="s">
        <v>212</v>
      </c>
      <c r="F135" s="271"/>
      <c r="G135" s="271"/>
      <c r="H135" s="271"/>
      <c r="I135" s="271"/>
      <c r="J135" s="278">
        <f t="shared" ref="J135:J157" si="10">H135+I135</f>
        <v>0</v>
      </c>
      <c r="K135" s="271"/>
      <c r="L135" s="279"/>
      <c r="M135" s="280"/>
      <c r="N135" s="279"/>
      <c r="O135" s="279"/>
      <c r="P135" s="279"/>
      <c r="Q135" s="280"/>
      <c r="R135" s="279"/>
      <c r="S135" s="280"/>
      <c r="T135" s="279"/>
      <c r="U135" s="280"/>
      <c r="V135" s="279"/>
      <c r="W135" s="281"/>
      <c r="X135" s="117">
        <f t="shared" si="1"/>
        <v>0</v>
      </c>
      <c r="Y135" s="252"/>
    </row>
    <row r="136" spans="1:26" ht="39" customHeight="1">
      <c r="A136" s="469"/>
      <c r="B136" s="469"/>
      <c r="C136" s="469"/>
      <c r="D136" s="332">
        <v>128</v>
      </c>
      <c r="E136" s="332" t="s">
        <v>213</v>
      </c>
      <c r="F136" s="333"/>
      <c r="G136" s="333"/>
      <c r="H136" s="333"/>
      <c r="I136" s="333"/>
      <c r="J136" s="334">
        <f t="shared" si="10"/>
        <v>0</v>
      </c>
      <c r="K136" s="333"/>
      <c r="L136" s="335"/>
      <c r="M136" s="280"/>
      <c r="N136" s="279"/>
      <c r="O136" s="282"/>
      <c r="P136" s="282"/>
      <c r="Q136" s="280"/>
      <c r="R136" s="279"/>
      <c r="S136" s="281"/>
      <c r="T136" s="297"/>
      <c r="U136" s="280"/>
      <c r="V136" s="279"/>
      <c r="W136" s="281"/>
      <c r="X136" s="117">
        <f t="shared" si="1"/>
        <v>0</v>
      </c>
      <c r="Y136" s="336"/>
      <c r="Z136" s="337"/>
    </row>
    <row r="137" spans="1:26" ht="31.5">
      <c r="A137" s="469"/>
      <c r="B137" s="271"/>
      <c r="C137" s="271"/>
      <c r="D137" s="174">
        <v>129</v>
      </c>
      <c r="E137" s="174" t="s">
        <v>214</v>
      </c>
      <c r="F137" s="271"/>
      <c r="G137" s="271"/>
      <c r="H137" s="271"/>
      <c r="I137" s="271"/>
      <c r="J137" s="278">
        <f t="shared" si="10"/>
        <v>0</v>
      </c>
      <c r="K137" s="271"/>
      <c r="L137" s="279"/>
      <c r="M137" s="280"/>
      <c r="N137" s="279"/>
      <c r="O137" s="279"/>
      <c r="P137" s="279"/>
      <c r="Q137" s="280"/>
      <c r="R137" s="279"/>
      <c r="S137" s="280"/>
      <c r="T137" s="279"/>
      <c r="U137" s="280"/>
      <c r="V137" s="279"/>
      <c r="W137" s="281"/>
      <c r="X137" s="117">
        <f t="shared" si="1"/>
        <v>0</v>
      </c>
      <c r="Y137" s="252"/>
    </row>
    <row r="138" spans="1:26" ht="47.25">
      <c r="A138" s="469"/>
      <c r="B138" s="484" t="s">
        <v>215</v>
      </c>
      <c r="C138" s="484" t="s">
        <v>216</v>
      </c>
      <c r="D138" s="174">
        <v>130</v>
      </c>
      <c r="E138" s="174" t="s">
        <v>217</v>
      </c>
      <c r="F138" s="271"/>
      <c r="G138" s="271"/>
      <c r="H138" s="271"/>
      <c r="I138" s="271"/>
      <c r="J138" s="278">
        <f t="shared" si="10"/>
        <v>0</v>
      </c>
      <c r="K138" s="271"/>
      <c r="L138" s="279"/>
      <c r="M138" s="280"/>
      <c r="N138" s="279"/>
      <c r="O138" s="279"/>
      <c r="P138" s="279"/>
      <c r="Q138" s="280"/>
      <c r="R138" s="279"/>
      <c r="S138" s="280"/>
      <c r="T138" s="279"/>
      <c r="U138" s="280"/>
      <c r="V138" s="279"/>
      <c r="W138" s="281"/>
      <c r="X138" s="117">
        <f t="shared" si="1"/>
        <v>0</v>
      </c>
      <c r="Y138" s="252"/>
    </row>
    <row r="139" spans="1:26" ht="15.75">
      <c r="A139" s="469"/>
      <c r="B139" s="469"/>
      <c r="C139" s="469"/>
      <c r="D139" s="174">
        <v>131</v>
      </c>
      <c r="E139" s="174" t="s">
        <v>218</v>
      </c>
      <c r="F139" s="271"/>
      <c r="G139" s="271"/>
      <c r="H139" s="271"/>
      <c r="I139" s="271"/>
      <c r="J139" s="278">
        <f t="shared" si="10"/>
        <v>0</v>
      </c>
      <c r="K139" s="271"/>
      <c r="L139" s="279"/>
      <c r="M139" s="280"/>
      <c r="N139" s="279"/>
      <c r="O139" s="279"/>
      <c r="P139" s="279"/>
      <c r="Q139" s="280"/>
      <c r="R139" s="279"/>
      <c r="S139" s="280"/>
      <c r="T139" s="140"/>
      <c r="U139" s="280"/>
      <c r="V139" s="279"/>
      <c r="W139" s="281"/>
      <c r="X139" s="117">
        <f t="shared" si="1"/>
        <v>0</v>
      </c>
      <c r="Y139" s="135"/>
    </row>
    <row r="140" spans="1:26" ht="15.75">
      <c r="A140" s="469"/>
      <c r="B140" s="469"/>
      <c r="C140" s="469"/>
      <c r="D140" s="174">
        <v>132</v>
      </c>
      <c r="E140" s="174" t="s">
        <v>219</v>
      </c>
      <c r="F140" s="271"/>
      <c r="G140" s="271"/>
      <c r="H140" s="271"/>
      <c r="I140" s="271"/>
      <c r="J140" s="278">
        <f t="shared" si="10"/>
        <v>0</v>
      </c>
      <c r="K140" s="271"/>
      <c r="L140" s="279"/>
      <c r="M140" s="280"/>
      <c r="N140" s="279"/>
      <c r="O140" s="279"/>
      <c r="P140" s="279"/>
      <c r="Q140" s="280"/>
      <c r="R140" s="279"/>
      <c r="S140" s="280"/>
      <c r="T140" s="279"/>
      <c r="U140" s="280"/>
      <c r="V140" s="279"/>
      <c r="W140" s="281"/>
      <c r="X140" s="117">
        <f t="shared" si="1"/>
        <v>0</v>
      </c>
      <c r="Y140" s="252"/>
    </row>
    <row r="141" spans="1:26" ht="15.75">
      <c r="A141" s="469"/>
      <c r="B141" s="469"/>
      <c r="C141" s="469"/>
      <c r="D141" s="174">
        <v>133</v>
      </c>
      <c r="E141" s="174" t="s">
        <v>220</v>
      </c>
      <c r="F141" s="271"/>
      <c r="G141" s="271"/>
      <c r="H141" s="271"/>
      <c r="I141" s="271"/>
      <c r="J141" s="278">
        <f t="shared" si="10"/>
        <v>0</v>
      </c>
      <c r="K141" s="271"/>
      <c r="L141" s="279"/>
      <c r="M141" s="280"/>
      <c r="N141" s="279"/>
      <c r="O141" s="279"/>
      <c r="P141" s="279"/>
      <c r="Q141" s="280"/>
      <c r="R141" s="279"/>
      <c r="S141" s="280"/>
      <c r="T141" s="279"/>
      <c r="U141" s="280"/>
      <c r="V141" s="279"/>
      <c r="W141" s="281"/>
      <c r="X141" s="117">
        <f t="shared" si="1"/>
        <v>0</v>
      </c>
      <c r="Y141" s="252"/>
    </row>
    <row r="142" spans="1:26" ht="110.25">
      <c r="A142" s="469"/>
      <c r="B142" s="469"/>
      <c r="C142" s="469"/>
      <c r="D142" s="174">
        <v>134</v>
      </c>
      <c r="E142" s="174" t="s">
        <v>221</v>
      </c>
      <c r="F142" s="271"/>
      <c r="G142" s="271"/>
      <c r="H142" s="271"/>
      <c r="I142" s="271"/>
      <c r="J142" s="278">
        <f t="shared" si="10"/>
        <v>0</v>
      </c>
      <c r="K142" s="271"/>
      <c r="L142" s="279"/>
      <c r="M142" s="280"/>
      <c r="N142" s="279"/>
      <c r="O142" s="279"/>
      <c r="P142" s="279"/>
      <c r="Q142" s="280"/>
      <c r="R142" s="279"/>
      <c r="S142" s="281"/>
      <c r="T142" s="122">
        <f>(6*0.025*12)</f>
        <v>1.8000000000000003</v>
      </c>
      <c r="U142" s="280"/>
      <c r="V142" s="279"/>
      <c r="W142" s="281"/>
      <c r="X142" s="117">
        <f t="shared" si="1"/>
        <v>1.8000000000000003</v>
      </c>
      <c r="Y142" s="254" t="s">
        <v>668</v>
      </c>
    </row>
    <row r="143" spans="1:26" ht="31.5">
      <c r="A143" s="469"/>
      <c r="B143" s="469"/>
      <c r="C143" s="469"/>
      <c r="D143" s="174">
        <v>135</v>
      </c>
      <c r="E143" s="174" t="s">
        <v>223</v>
      </c>
      <c r="F143" s="271"/>
      <c r="G143" s="271"/>
      <c r="H143" s="271"/>
      <c r="I143" s="271"/>
      <c r="J143" s="278">
        <f t="shared" si="10"/>
        <v>0</v>
      </c>
      <c r="K143" s="271"/>
      <c r="L143" s="279"/>
      <c r="M143" s="280"/>
      <c r="N143" s="279"/>
      <c r="O143" s="279"/>
      <c r="P143" s="279"/>
      <c r="Q143" s="280"/>
      <c r="R143" s="279"/>
      <c r="S143" s="280"/>
      <c r="T143" s="279"/>
      <c r="U143" s="280"/>
      <c r="V143" s="279"/>
      <c r="W143" s="281"/>
      <c r="X143" s="117">
        <f t="shared" si="1"/>
        <v>0</v>
      </c>
      <c r="Y143" s="97"/>
    </row>
    <row r="144" spans="1:26" ht="47.25">
      <c r="A144" s="469"/>
      <c r="B144" s="469"/>
      <c r="C144" s="469"/>
      <c r="D144" s="174">
        <v>136</v>
      </c>
      <c r="E144" s="174" t="s">
        <v>224</v>
      </c>
      <c r="F144" s="271"/>
      <c r="G144" s="271"/>
      <c r="H144" s="271"/>
      <c r="I144" s="271"/>
      <c r="J144" s="278">
        <f t="shared" si="10"/>
        <v>0</v>
      </c>
      <c r="K144" s="271"/>
      <c r="L144" s="279"/>
      <c r="M144" s="280"/>
      <c r="N144" s="279"/>
      <c r="O144" s="279"/>
      <c r="P144" s="279"/>
      <c r="Q144" s="280"/>
      <c r="R144" s="279"/>
      <c r="S144" s="281"/>
      <c r="T144" s="282"/>
      <c r="U144" s="280"/>
      <c r="V144" s="279"/>
      <c r="W144" s="281"/>
      <c r="X144" s="117">
        <f t="shared" si="1"/>
        <v>0</v>
      </c>
      <c r="Y144" s="135"/>
    </row>
    <row r="145" spans="1:25" ht="15.75">
      <c r="A145" s="469"/>
      <c r="B145" s="484" t="s">
        <v>225</v>
      </c>
      <c r="C145" s="484" t="s">
        <v>226</v>
      </c>
      <c r="D145" s="174">
        <v>137</v>
      </c>
      <c r="E145" s="174" t="s">
        <v>227</v>
      </c>
      <c r="F145" s="271"/>
      <c r="G145" s="271"/>
      <c r="H145" s="271"/>
      <c r="I145" s="271"/>
      <c r="J145" s="278">
        <f t="shared" si="10"/>
        <v>0</v>
      </c>
      <c r="K145" s="271"/>
      <c r="L145" s="279"/>
      <c r="M145" s="280"/>
      <c r="N145" s="279"/>
      <c r="O145" s="279"/>
      <c r="P145" s="279"/>
      <c r="Q145" s="281"/>
      <c r="R145" s="282"/>
      <c r="S145" s="281"/>
      <c r="T145" s="282"/>
      <c r="U145" s="280"/>
      <c r="V145" s="279"/>
      <c r="W145" s="281"/>
      <c r="X145" s="117">
        <f t="shared" si="1"/>
        <v>0</v>
      </c>
      <c r="Y145" s="135"/>
    </row>
    <row r="146" spans="1:25" ht="31.5">
      <c r="A146" s="469"/>
      <c r="B146" s="469"/>
      <c r="C146" s="469"/>
      <c r="D146" s="174">
        <v>138</v>
      </c>
      <c r="E146" s="174" t="s">
        <v>228</v>
      </c>
      <c r="F146" s="271"/>
      <c r="G146" s="271"/>
      <c r="H146" s="271"/>
      <c r="I146" s="288"/>
      <c r="J146" s="316">
        <f t="shared" si="10"/>
        <v>0</v>
      </c>
      <c r="K146" s="288"/>
      <c r="L146" s="282"/>
      <c r="M146" s="280"/>
      <c r="N146" s="279"/>
      <c r="O146" s="282"/>
      <c r="P146" s="282"/>
      <c r="Q146" s="281"/>
      <c r="R146" s="282"/>
      <c r="S146" s="280"/>
      <c r="T146" s="279"/>
      <c r="U146" s="280"/>
      <c r="V146" s="279"/>
      <c r="W146" s="281"/>
      <c r="X146" s="117">
        <f t="shared" si="1"/>
        <v>0</v>
      </c>
      <c r="Y146" s="135"/>
    </row>
    <row r="147" spans="1:25" ht="76.5" customHeight="1">
      <c r="A147" s="469"/>
      <c r="B147" s="484" t="s">
        <v>229</v>
      </c>
      <c r="C147" s="484" t="s">
        <v>230</v>
      </c>
      <c r="D147" s="174">
        <v>139</v>
      </c>
      <c r="E147" s="174" t="s">
        <v>231</v>
      </c>
      <c r="F147" s="271"/>
      <c r="G147" s="271"/>
      <c r="H147" s="271"/>
      <c r="I147" s="271"/>
      <c r="J147" s="278">
        <f t="shared" si="10"/>
        <v>0</v>
      </c>
      <c r="K147" s="271"/>
      <c r="L147" s="279"/>
      <c r="M147" s="280"/>
      <c r="N147" s="279"/>
      <c r="O147" s="279"/>
      <c r="P147" s="279"/>
      <c r="Q147" s="280"/>
      <c r="R147" s="279"/>
      <c r="S147" s="282"/>
      <c r="T147" s="122">
        <f>2*0.5</f>
        <v>1</v>
      </c>
      <c r="U147" s="120"/>
      <c r="V147" s="120"/>
      <c r="W147" s="117"/>
      <c r="X147" s="117">
        <f t="shared" si="1"/>
        <v>1</v>
      </c>
      <c r="Y147" s="135" t="s">
        <v>669</v>
      </c>
    </row>
    <row r="148" spans="1:25" ht="95.25" customHeight="1">
      <c r="A148" s="469"/>
      <c r="B148" s="469"/>
      <c r="C148" s="469"/>
      <c r="D148" s="174">
        <v>140</v>
      </c>
      <c r="E148" s="174" t="s">
        <v>232</v>
      </c>
      <c r="F148" s="271"/>
      <c r="G148" s="271"/>
      <c r="H148" s="271"/>
      <c r="I148" s="271"/>
      <c r="J148" s="278">
        <f t="shared" si="10"/>
        <v>0</v>
      </c>
      <c r="K148" s="271"/>
      <c r="L148" s="279"/>
      <c r="M148" s="280"/>
      <c r="N148" s="279"/>
      <c r="O148" s="279"/>
      <c r="P148" s="279"/>
      <c r="Q148" s="280"/>
      <c r="R148" s="279"/>
      <c r="S148" s="281"/>
      <c r="T148" s="123">
        <v>0.81</v>
      </c>
      <c r="U148" s="280"/>
      <c r="V148" s="279"/>
      <c r="W148" s="281"/>
      <c r="X148" s="117">
        <f t="shared" si="1"/>
        <v>0.81</v>
      </c>
      <c r="Y148" s="234" t="s">
        <v>670</v>
      </c>
    </row>
    <row r="149" spans="1:25" ht="15.75" hidden="1">
      <c r="A149" s="469"/>
      <c r="B149" s="469"/>
      <c r="C149" s="469"/>
      <c r="D149" s="174">
        <v>141</v>
      </c>
      <c r="E149" s="174" t="s">
        <v>233</v>
      </c>
      <c r="F149" s="271"/>
      <c r="G149" s="271"/>
      <c r="H149" s="271"/>
      <c r="I149" s="271"/>
      <c r="J149" s="278">
        <f t="shared" si="10"/>
        <v>0</v>
      </c>
      <c r="K149" s="271"/>
      <c r="L149" s="279"/>
      <c r="M149" s="280"/>
      <c r="N149" s="279"/>
      <c r="O149" s="279"/>
      <c r="P149" s="279"/>
      <c r="Q149" s="280"/>
      <c r="R149" s="279"/>
      <c r="S149" s="280"/>
      <c r="T149" s="279"/>
      <c r="U149" s="280"/>
      <c r="V149" s="279"/>
      <c r="W149" s="281"/>
      <c r="X149" s="117">
        <f t="shared" si="1"/>
        <v>0</v>
      </c>
      <c r="Y149" s="97"/>
    </row>
    <row r="150" spans="1:25" ht="57.75" customHeight="1">
      <c r="A150" s="469"/>
      <c r="B150" s="484" t="s">
        <v>234</v>
      </c>
      <c r="C150" s="484" t="s">
        <v>235</v>
      </c>
      <c r="D150" s="174">
        <v>142</v>
      </c>
      <c r="E150" s="174" t="s">
        <v>236</v>
      </c>
      <c r="F150" s="271"/>
      <c r="G150" s="271"/>
      <c r="H150" s="271"/>
      <c r="I150" s="271"/>
      <c r="J150" s="278">
        <f t="shared" si="10"/>
        <v>0</v>
      </c>
      <c r="K150" s="271"/>
      <c r="L150" s="279"/>
      <c r="M150" s="280"/>
      <c r="N150" s="279"/>
      <c r="O150" s="279"/>
      <c r="P150" s="279"/>
      <c r="Q150" s="280"/>
      <c r="R150" s="279"/>
      <c r="S150" s="279"/>
      <c r="T150" s="302">
        <v>884.66</v>
      </c>
      <c r="U150" s="280"/>
      <c r="V150" s="279"/>
      <c r="W150" s="281"/>
      <c r="X150" s="117">
        <f t="shared" si="1"/>
        <v>884.66</v>
      </c>
      <c r="Y150" s="97" t="s">
        <v>671</v>
      </c>
    </row>
    <row r="151" spans="1:25" ht="47.25">
      <c r="A151" s="469"/>
      <c r="B151" s="469"/>
      <c r="C151" s="469"/>
      <c r="D151" s="174">
        <v>143</v>
      </c>
      <c r="E151" s="174" t="s">
        <v>237</v>
      </c>
      <c r="F151" s="271"/>
      <c r="G151" s="271"/>
      <c r="H151" s="271"/>
      <c r="I151" s="271"/>
      <c r="J151" s="278">
        <f t="shared" si="10"/>
        <v>0</v>
      </c>
      <c r="K151" s="271"/>
      <c r="L151" s="279"/>
      <c r="M151" s="280"/>
      <c r="N151" s="279"/>
      <c r="O151" s="279"/>
      <c r="P151" s="279"/>
      <c r="Q151" s="280"/>
      <c r="R151" s="279"/>
      <c r="S151" s="280"/>
      <c r="T151" s="279"/>
      <c r="U151" s="280"/>
      <c r="V151" s="279"/>
      <c r="W151" s="281"/>
      <c r="X151" s="117">
        <f t="shared" si="1"/>
        <v>0</v>
      </c>
      <c r="Y151" s="97"/>
    </row>
    <row r="152" spans="1:25" ht="15.75">
      <c r="A152" s="469"/>
      <c r="B152" s="469"/>
      <c r="C152" s="469"/>
      <c r="D152" s="174">
        <v>144</v>
      </c>
      <c r="E152" s="174" t="s">
        <v>238</v>
      </c>
      <c r="F152" s="271"/>
      <c r="G152" s="271"/>
      <c r="H152" s="271"/>
      <c r="I152" s="271"/>
      <c r="J152" s="278">
        <f t="shared" si="10"/>
        <v>0</v>
      </c>
      <c r="K152" s="271"/>
      <c r="L152" s="279"/>
      <c r="M152" s="280"/>
      <c r="N152" s="279"/>
      <c r="O152" s="279"/>
      <c r="P152" s="279"/>
      <c r="Q152" s="280"/>
      <c r="R152" s="279"/>
      <c r="S152" s="280"/>
      <c r="T152" s="279"/>
      <c r="U152" s="280"/>
      <c r="V152" s="279"/>
      <c r="W152" s="281"/>
      <c r="X152" s="117">
        <f t="shared" si="1"/>
        <v>0</v>
      </c>
      <c r="Y152" s="97"/>
    </row>
    <row r="153" spans="1:25" ht="47.25">
      <c r="A153" s="469"/>
      <c r="B153" s="469"/>
      <c r="C153" s="469"/>
      <c r="D153" s="174">
        <v>145</v>
      </c>
      <c r="E153" s="174" t="s">
        <v>295</v>
      </c>
      <c r="F153" s="271"/>
      <c r="G153" s="271"/>
      <c r="H153" s="271"/>
      <c r="I153" s="271"/>
      <c r="J153" s="278">
        <f t="shared" si="10"/>
        <v>0</v>
      </c>
      <c r="K153" s="271"/>
      <c r="L153" s="279"/>
      <c r="M153" s="280"/>
      <c r="N153" s="279"/>
      <c r="O153" s="279"/>
      <c r="P153" s="279"/>
      <c r="Q153" s="280"/>
      <c r="R153" s="279"/>
      <c r="S153" s="280"/>
      <c r="T153" s="279"/>
      <c r="U153" s="280"/>
      <c r="V153" s="279"/>
      <c r="W153" s="281"/>
      <c r="X153" s="117">
        <f t="shared" si="1"/>
        <v>0</v>
      </c>
      <c r="Y153" s="97"/>
    </row>
    <row r="154" spans="1:25" ht="110.25">
      <c r="A154" s="469"/>
      <c r="B154" s="174" t="s">
        <v>240</v>
      </c>
      <c r="C154" s="174" t="s">
        <v>241</v>
      </c>
      <c r="D154" s="174">
        <v>146</v>
      </c>
      <c r="E154" s="174" t="s">
        <v>242</v>
      </c>
      <c r="F154" s="271"/>
      <c r="G154" s="271"/>
      <c r="H154" s="271"/>
      <c r="I154" s="271"/>
      <c r="J154" s="278">
        <f t="shared" si="10"/>
        <v>0</v>
      </c>
      <c r="K154" s="271"/>
      <c r="L154" s="279"/>
      <c r="M154" s="280"/>
      <c r="N154" s="279"/>
      <c r="O154" s="279"/>
      <c r="P154" s="279"/>
      <c r="Q154" s="280"/>
      <c r="R154" s="279"/>
      <c r="S154" s="280"/>
      <c r="T154" s="285">
        <v>6</v>
      </c>
      <c r="U154" s="280"/>
      <c r="V154" s="279"/>
      <c r="W154" s="281"/>
      <c r="X154" s="117">
        <f t="shared" si="1"/>
        <v>6</v>
      </c>
      <c r="Y154" s="256" t="s">
        <v>672</v>
      </c>
    </row>
    <row r="155" spans="1:25" ht="31.5">
      <c r="A155" s="469"/>
      <c r="B155" s="174" t="s">
        <v>243</v>
      </c>
      <c r="C155" s="174" t="s">
        <v>244</v>
      </c>
      <c r="D155" s="174">
        <v>147</v>
      </c>
      <c r="E155" s="174" t="s">
        <v>125</v>
      </c>
      <c r="F155" s="271"/>
      <c r="G155" s="271"/>
      <c r="H155" s="271"/>
      <c r="I155" s="271"/>
      <c r="J155" s="278">
        <f t="shared" si="10"/>
        <v>0</v>
      </c>
      <c r="K155" s="271"/>
      <c r="L155" s="279"/>
      <c r="M155" s="280"/>
      <c r="N155" s="279"/>
      <c r="O155" s="279"/>
      <c r="P155" s="279"/>
      <c r="Q155" s="280"/>
      <c r="R155" s="279"/>
      <c r="S155" s="280"/>
      <c r="T155" s="279"/>
      <c r="U155" s="280"/>
      <c r="V155" s="279"/>
      <c r="W155" s="281"/>
      <c r="X155" s="117">
        <f t="shared" si="1"/>
        <v>0</v>
      </c>
      <c r="Y155" s="97"/>
    </row>
    <row r="156" spans="1:25" ht="63" hidden="1">
      <c r="A156" s="469"/>
      <c r="B156" s="174" t="s">
        <v>245</v>
      </c>
      <c r="C156" s="174" t="s">
        <v>246</v>
      </c>
      <c r="D156" s="174">
        <v>148</v>
      </c>
      <c r="E156" s="174" t="s">
        <v>247</v>
      </c>
      <c r="F156" s="271"/>
      <c r="G156" s="271"/>
      <c r="H156" s="271"/>
      <c r="I156" s="271"/>
      <c r="J156" s="278">
        <f t="shared" si="10"/>
        <v>0</v>
      </c>
      <c r="K156" s="271"/>
      <c r="L156" s="279"/>
      <c r="M156" s="280"/>
      <c r="N156" s="279"/>
      <c r="O156" s="279"/>
      <c r="P156" s="279"/>
      <c r="Q156" s="280"/>
      <c r="R156" s="279"/>
      <c r="S156" s="281"/>
      <c r="T156" s="282"/>
      <c r="U156" s="280"/>
      <c r="V156" s="279"/>
      <c r="W156" s="281"/>
      <c r="X156" s="117">
        <f t="shared" si="1"/>
        <v>0</v>
      </c>
      <c r="Y156" s="135"/>
    </row>
    <row r="157" spans="1:25" ht="78.75">
      <c r="A157" s="469"/>
      <c r="B157" s="174" t="s">
        <v>248</v>
      </c>
      <c r="C157" s="174" t="s">
        <v>249</v>
      </c>
      <c r="D157" s="174">
        <v>149</v>
      </c>
      <c r="E157" s="174" t="s">
        <v>250</v>
      </c>
      <c r="F157" s="271"/>
      <c r="G157" s="271"/>
      <c r="H157" s="271"/>
      <c r="I157" s="271"/>
      <c r="J157" s="278">
        <f t="shared" si="10"/>
        <v>0</v>
      </c>
      <c r="K157" s="271"/>
      <c r="L157" s="279"/>
      <c r="M157" s="280"/>
      <c r="N157" s="279"/>
      <c r="O157" s="279"/>
      <c r="P157" s="279"/>
      <c r="Q157" s="280"/>
      <c r="R157" s="279"/>
      <c r="S157" s="281"/>
      <c r="T157" s="297">
        <f>(0.03*109)</f>
        <v>3.27</v>
      </c>
      <c r="U157" s="280"/>
      <c r="V157" s="279"/>
      <c r="W157" s="281"/>
      <c r="X157" s="117">
        <f t="shared" si="1"/>
        <v>3.27</v>
      </c>
      <c r="Y157" s="135" t="s">
        <v>673</v>
      </c>
    </row>
    <row r="158" spans="1:25" ht="34.5" customHeight="1">
      <c r="A158" s="469"/>
      <c r="B158" s="486" t="s">
        <v>251</v>
      </c>
      <c r="C158" s="469"/>
      <c r="D158" s="469"/>
      <c r="E158" s="303"/>
      <c r="F158" s="100">
        <f t="shared" ref="F158:W158" si="11">SUM(F135:F157)</f>
        <v>0</v>
      </c>
      <c r="G158" s="100">
        <f t="shared" si="11"/>
        <v>0</v>
      </c>
      <c r="H158" s="100">
        <f t="shared" si="11"/>
        <v>0</v>
      </c>
      <c r="I158" s="100">
        <f t="shared" si="11"/>
        <v>0</v>
      </c>
      <c r="J158" s="100">
        <f t="shared" si="11"/>
        <v>0</v>
      </c>
      <c r="K158" s="100">
        <f t="shared" si="11"/>
        <v>0</v>
      </c>
      <c r="L158" s="100">
        <f t="shared" si="11"/>
        <v>0</v>
      </c>
      <c r="M158" s="100">
        <f t="shared" si="11"/>
        <v>0</v>
      </c>
      <c r="N158" s="100">
        <f t="shared" si="11"/>
        <v>0</v>
      </c>
      <c r="O158" s="100">
        <f t="shared" si="11"/>
        <v>0</v>
      </c>
      <c r="P158" s="100">
        <f t="shared" si="11"/>
        <v>0</v>
      </c>
      <c r="Q158" s="100">
        <f t="shared" si="11"/>
        <v>0</v>
      </c>
      <c r="R158" s="100">
        <f t="shared" si="11"/>
        <v>0</v>
      </c>
      <c r="S158" s="100">
        <f t="shared" si="11"/>
        <v>0</v>
      </c>
      <c r="T158" s="100">
        <f t="shared" si="11"/>
        <v>897.54</v>
      </c>
      <c r="U158" s="100">
        <f t="shared" si="11"/>
        <v>0</v>
      </c>
      <c r="V158" s="100">
        <f t="shared" si="11"/>
        <v>0</v>
      </c>
      <c r="W158" s="102">
        <f t="shared" si="11"/>
        <v>0</v>
      </c>
      <c r="X158" s="100">
        <f t="shared" si="1"/>
        <v>897.54</v>
      </c>
      <c r="Y158" s="331"/>
    </row>
    <row r="159" spans="1:25" ht="63">
      <c r="A159" s="485" t="s">
        <v>252</v>
      </c>
      <c r="B159" s="484" t="s">
        <v>253</v>
      </c>
      <c r="C159" s="484" t="s">
        <v>211</v>
      </c>
      <c r="D159" s="174">
        <v>150</v>
      </c>
      <c r="E159" s="174" t="s">
        <v>239</v>
      </c>
      <c r="F159" s="271"/>
      <c r="G159" s="289"/>
      <c r="H159" s="289">
        <v>130</v>
      </c>
      <c r="I159" s="289"/>
      <c r="J159" s="296">
        <f t="shared" ref="J159:J215" si="12">H159+I159</f>
        <v>130</v>
      </c>
      <c r="K159" s="271"/>
      <c r="L159" s="279"/>
      <c r="M159" s="280"/>
      <c r="N159" s="279"/>
      <c r="O159" s="279"/>
      <c r="P159" s="279"/>
      <c r="Q159" s="280"/>
      <c r="R159" s="279"/>
      <c r="S159" s="283"/>
      <c r="T159" s="284">
        <v>1</v>
      </c>
      <c r="U159" s="280"/>
      <c r="V159" s="279"/>
      <c r="W159" s="281"/>
      <c r="X159" s="117">
        <f t="shared" si="1"/>
        <v>131</v>
      </c>
      <c r="Y159" s="257" t="s">
        <v>1013</v>
      </c>
    </row>
    <row r="160" spans="1:25" ht="31.5">
      <c r="A160" s="469"/>
      <c r="B160" s="469"/>
      <c r="C160" s="469"/>
      <c r="D160" s="174">
        <v>151</v>
      </c>
      <c r="E160" s="174" t="s">
        <v>254</v>
      </c>
      <c r="F160" s="271"/>
      <c r="G160" s="289"/>
      <c r="H160" s="289"/>
      <c r="I160" s="289"/>
      <c r="J160" s="296">
        <f t="shared" si="12"/>
        <v>0</v>
      </c>
      <c r="K160" s="288"/>
      <c r="L160" s="282"/>
      <c r="M160" s="280"/>
      <c r="N160" s="279"/>
      <c r="O160" s="279"/>
      <c r="P160" s="279"/>
      <c r="Q160" s="280"/>
      <c r="R160" s="279"/>
      <c r="S160" s="283"/>
      <c r="T160" s="299"/>
      <c r="U160" s="280"/>
      <c r="V160" s="279"/>
      <c r="W160" s="281"/>
      <c r="X160" s="117">
        <f t="shared" si="1"/>
        <v>0</v>
      </c>
      <c r="Y160" s="135"/>
    </row>
    <row r="161" spans="1:25" ht="49.5" customHeight="1">
      <c r="A161" s="469"/>
      <c r="B161" s="469"/>
      <c r="C161" s="469"/>
      <c r="D161" s="174">
        <v>152</v>
      </c>
      <c r="E161" s="174" t="s">
        <v>255</v>
      </c>
      <c r="F161" s="271"/>
      <c r="G161" s="271"/>
      <c r="H161" s="271"/>
      <c r="I161" s="271"/>
      <c r="J161" s="278">
        <f t="shared" si="12"/>
        <v>0</v>
      </c>
      <c r="K161" s="271"/>
      <c r="L161" s="279"/>
      <c r="M161" s="280"/>
      <c r="N161" s="279"/>
      <c r="O161" s="279"/>
      <c r="P161" s="279"/>
      <c r="Q161" s="280"/>
      <c r="R161" s="279"/>
      <c r="S161" s="283"/>
      <c r="T161" s="98">
        <f>366*3600/100000</f>
        <v>13.176</v>
      </c>
      <c r="U161" s="317"/>
      <c r="V161" s="279"/>
      <c r="W161" s="281"/>
      <c r="X161" s="117">
        <f t="shared" si="1"/>
        <v>13.176</v>
      </c>
      <c r="Y161" s="135" t="s">
        <v>1014</v>
      </c>
    </row>
    <row r="162" spans="1:25" ht="15.75">
      <c r="A162" s="469"/>
      <c r="B162" s="469"/>
      <c r="C162" s="469"/>
      <c r="D162" s="174">
        <v>153</v>
      </c>
      <c r="E162" s="174" t="s">
        <v>256</v>
      </c>
      <c r="F162" s="271"/>
      <c r="G162" s="271"/>
      <c r="H162" s="271"/>
      <c r="I162" s="271"/>
      <c r="J162" s="278">
        <f t="shared" si="12"/>
        <v>0</v>
      </c>
      <c r="K162" s="271"/>
      <c r="L162" s="279"/>
      <c r="M162" s="280"/>
      <c r="N162" s="279"/>
      <c r="O162" s="279"/>
      <c r="P162" s="279"/>
      <c r="Q162" s="280"/>
      <c r="R162" s="279"/>
      <c r="S162" s="280"/>
      <c r="T162" s="279"/>
      <c r="U162" s="280"/>
      <c r="V162" s="279"/>
      <c r="W162" s="281"/>
      <c r="X162" s="117">
        <f t="shared" si="1"/>
        <v>0</v>
      </c>
      <c r="Y162" s="252"/>
    </row>
    <row r="163" spans="1:25" ht="31.5">
      <c r="A163" s="469"/>
      <c r="B163" s="484" t="s">
        <v>257</v>
      </c>
      <c r="C163" s="484" t="s">
        <v>258</v>
      </c>
      <c r="D163" s="174">
        <v>154</v>
      </c>
      <c r="E163" s="174" t="s">
        <v>259</v>
      </c>
      <c r="F163" s="271"/>
      <c r="G163" s="271"/>
      <c r="H163" s="271"/>
      <c r="I163" s="271"/>
      <c r="J163" s="278">
        <f t="shared" si="12"/>
        <v>0</v>
      </c>
      <c r="K163" s="271"/>
      <c r="L163" s="279"/>
      <c r="M163" s="280"/>
      <c r="N163" s="279"/>
      <c r="O163" s="282"/>
      <c r="P163" s="282"/>
      <c r="Q163" s="281"/>
      <c r="R163" s="282"/>
      <c r="S163" s="280"/>
      <c r="T163" s="279"/>
      <c r="U163" s="280"/>
      <c r="V163" s="279"/>
      <c r="W163" s="281"/>
      <c r="X163" s="117">
        <f t="shared" si="1"/>
        <v>0</v>
      </c>
      <c r="Y163" s="135"/>
    </row>
    <row r="164" spans="1:25" ht="31.5">
      <c r="A164" s="469"/>
      <c r="B164" s="469"/>
      <c r="C164" s="469"/>
      <c r="D164" s="174">
        <v>155</v>
      </c>
      <c r="E164" s="174" t="s">
        <v>260</v>
      </c>
      <c r="F164" s="271"/>
      <c r="G164" s="271"/>
      <c r="H164" s="271"/>
      <c r="I164" s="271"/>
      <c r="J164" s="278">
        <f t="shared" si="12"/>
        <v>0</v>
      </c>
      <c r="K164" s="271"/>
      <c r="L164" s="279"/>
      <c r="M164" s="280"/>
      <c r="N164" s="279"/>
      <c r="O164" s="279"/>
      <c r="P164" s="279"/>
      <c r="Q164" s="280"/>
      <c r="R164" s="279"/>
      <c r="S164" s="283"/>
      <c r="T164" s="284"/>
      <c r="U164" s="280"/>
      <c r="V164" s="279"/>
      <c r="W164" s="281"/>
      <c r="X164" s="117">
        <f t="shared" si="1"/>
        <v>0</v>
      </c>
      <c r="Y164" s="252"/>
    </row>
    <row r="165" spans="1:25" ht="51.75" customHeight="1">
      <c r="A165" s="469"/>
      <c r="B165" s="469"/>
      <c r="C165" s="469"/>
      <c r="D165" s="174">
        <v>156</v>
      </c>
      <c r="E165" s="174" t="s">
        <v>261</v>
      </c>
      <c r="F165" s="271"/>
      <c r="G165" s="271"/>
      <c r="H165" s="271"/>
      <c r="I165" s="289"/>
      <c r="J165" s="296">
        <f t="shared" si="12"/>
        <v>0</v>
      </c>
      <c r="K165" s="288"/>
      <c r="L165" s="282"/>
      <c r="M165" s="280"/>
      <c r="N165" s="279"/>
      <c r="O165" s="279"/>
      <c r="P165" s="279"/>
      <c r="Q165" s="280"/>
      <c r="R165" s="279"/>
      <c r="S165" s="283"/>
      <c r="T165" s="121">
        <v>1</v>
      </c>
      <c r="U165" s="115"/>
      <c r="V165" s="279"/>
      <c r="W165" s="281"/>
      <c r="X165" s="117">
        <f t="shared" si="1"/>
        <v>1</v>
      </c>
      <c r="Y165" s="135" t="s">
        <v>810</v>
      </c>
    </row>
    <row r="166" spans="1:25" ht="31.5">
      <c r="A166" s="469"/>
      <c r="B166" s="469"/>
      <c r="C166" s="469"/>
      <c r="D166" s="174">
        <v>157</v>
      </c>
      <c r="E166" s="174" t="s">
        <v>262</v>
      </c>
      <c r="F166" s="271"/>
      <c r="G166" s="271"/>
      <c r="H166" s="271"/>
      <c r="I166" s="271"/>
      <c r="J166" s="278">
        <f t="shared" si="12"/>
        <v>0</v>
      </c>
      <c r="K166" s="271"/>
      <c r="L166" s="279"/>
      <c r="M166" s="280"/>
      <c r="N166" s="279"/>
      <c r="O166" s="279"/>
      <c r="P166" s="279"/>
      <c r="Q166" s="280"/>
      <c r="R166" s="279"/>
      <c r="S166" s="280"/>
      <c r="T166" s="279"/>
      <c r="U166" s="280"/>
      <c r="V166" s="279"/>
      <c r="W166" s="281"/>
      <c r="X166" s="117">
        <f t="shared" si="1"/>
        <v>0</v>
      </c>
      <c r="Y166" s="252"/>
    </row>
    <row r="167" spans="1:25" ht="31.5">
      <c r="A167" s="469"/>
      <c r="B167" s="469"/>
      <c r="C167" s="469"/>
      <c r="D167" s="174">
        <v>158</v>
      </c>
      <c r="E167" s="174" t="s">
        <v>263</v>
      </c>
      <c r="F167" s="271"/>
      <c r="G167" s="271"/>
      <c r="H167" s="271"/>
      <c r="I167" s="271"/>
      <c r="J167" s="278">
        <f t="shared" si="12"/>
        <v>0</v>
      </c>
      <c r="K167" s="271"/>
      <c r="L167" s="279"/>
      <c r="M167" s="280"/>
      <c r="N167" s="279"/>
      <c r="O167" s="279"/>
      <c r="P167" s="279"/>
      <c r="Q167" s="280"/>
      <c r="R167" s="279"/>
      <c r="S167" s="280"/>
      <c r="T167" s="279"/>
      <c r="U167" s="280"/>
      <c r="V167" s="279"/>
      <c r="W167" s="281"/>
      <c r="X167" s="117">
        <f t="shared" si="1"/>
        <v>0</v>
      </c>
      <c r="Y167" s="135"/>
    </row>
    <row r="168" spans="1:25" ht="94.5">
      <c r="A168" s="469"/>
      <c r="B168" s="484" t="s">
        <v>264</v>
      </c>
      <c r="C168" s="484" t="s">
        <v>216</v>
      </c>
      <c r="D168" s="174">
        <v>159</v>
      </c>
      <c r="E168" s="174" t="s">
        <v>217</v>
      </c>
      <c r="F168" s="271"/>
      <c r="G168" s="271"/>
      <c r="H168" s="271"/>
      <c r="I168" s="271"/>
      <c r="J168" s="278">
        <f t="shared" si="12"/>
        <v>0</v>
      </c>
      <c r="K168" s="271"/>
      <c r="L168" s="279"/>
      <c r="M168" s="280"/>
      <c r="N168" s="279"/>
      <c r="O168" s="282"/>
      <c r="P168" s="282"/>
      <c r="Q168" s="280"/>
      <c r="R168" s="279"/>
      <c r="S168" s="283"/>
      <c r="T168" s="286">
        <v>48.18</v>
      </c>
      <c r="U168" s="280"/>
      <c r="V168" s="279"/>
      <c r="W168" s="281"/>
      <c r="X168" s="117">
        <f t="shared" si="1"/>
        <v>48.18</v>
      </c>
      <c r="Y168" s="135" t="s">
        <v>997</v>
      </c>
    </row>
    <row r="169" spans="1:25" ht="15.75">
      <c r="A169" s="469"/>
      <c r="B169" s="469"/>
      <c r="C169" s="469"/>
      <c r="D169" s="174">
        <v>160</v>
      </c>
      <c r="E169" s="174" t="s">
        <v>265</v>
      </c>
      <c r="F169" s="271"/>
      <c r="G169" s="271"/>
      <c r="H169" s="271"/>
      <c r="I169" s="271"/>
      <c r="J169" s="278">
        <f t="shared" si="12"/>
        <v>0</v>
      </c>
      <c r="K169" s="271"/>
      <c r="L169" s="279"/>
      <c r="M169" s="280"/>
      <c r="N169" s="279"/>
      <c r="O169" s="279"/>
      <c r="P169" s="279"/>
      <c r="Q169" s="280"/>
      <c r="R169" s="279"/>
      <c r="S169" s="280"/>
      <c r="T169" s="279"/>
      <c r="U169" s="280"/>
      <c r="V169" s="279"/>
      <c r="W169" s="281"/>
      <c r="X169" s="117">
        <f t="shared" si="1"/>
        <v>0</v>
      </c>
      <c r="Y169" s="252"/>
    </row>
    <row r="170" spans="1:25" ht="15.75">
      <c r="A170" s="469"/>
      <c r="B170" s="469"/>
      <c r="C170" s="469"/>
      <c r="D170" s="174">
        <v>161</v>
      </c>
      <c r="E170" s="174" t="s">
        <v>219</v>
      </c>
      <c r="F170" s="271"/>
      <c r="G170" s="271"/>
      <c r="H170" s="271"/>
      <c r="I170" s="271"/>
      <c r="J170" s="278">
        <f t="shared" si="12"/>
        <v>0</v>
      </c>
      <c r="K170" s="271"/>
      <c r="L170" s="279"/>
      <c r="M170" s="280"/>
      <c r="N170" s="279"/>
      <c r="O170" s="279"/>
      <c r="P170" s="279"/>
      <c r="Q170" s="280"/>
      <c r="R170" s="279"/>
      <c r="S170" s="280"/>
      <c r="T170" s="279"/>
      <c r="U170" s="280"/>
      <c r="V170" s="279"/>
      <c r="W170" s="281"/>
      <c r="X170" s="117">
        <f t="shared" si="1"/>
        <v>0</v>
      </c>
      <c r="Y170" s="252"/>
    </row>
    <row r="171" spans="1:25" ht="15.75">
      <c r="A171" s="469"/>
      <c r="B171" s="469"/>
      <c r="C171" s="469"/>
      <c r="D171" s="174">
        <v>162</v>
      </c>
      <c r="E171" s="174" t="s">
        <v>220</v>
      </c>
      <c r="F171" s="271"/>
      <c r="G171" s="271"/>
      <c r="H171" s="271"/>
      <c r="I171" s="271"/>
      <c r="J171" s="278">
        <f t="shared" si="12"/>
        <v>0</v>
      </c>
      <c r="K171" s="271"/>
      <c r="L171" s="279"/>
      <c r="M171" s="280"/>
      <c r="N171" s="279"/>
      <c r="O171" s="279"/>
      <c r="P171" s="279"/>
      <c r="Q171" s="280"/>
      <c r="R171" s="279"/>
      <c r="S171" s="280"/>
      <c r="T171" s="279"/>
      <c r="U171" s="280"/>
      <c r="V171" s="279"/>
      <c r="W171" s="281"/>
      <c r="X171" s="117">
        <f t="shared" si="1"/>
        <v>0</v>
      </c>
      <c r="Y171" s="252"/>
    </row>
    <row r="172" spans="1:25" ht="47.25">
      <c r="A172" s="469"/>
      <c r="B172" s="469"/>
      <c r="C172" s="469"/>
      <c r="D172" s="174">
        <v>163</v>
      </c>
      <c r="E172" s="174" t="s">
        <v>266</v>
      </c>
      <c r="F172" s="271"/>
      <c r="G172" s="271"/>
      <c r="H172" s="271"/>
      <c r="I172" s="271"/>
      <c r="J172" s="278">
        <f t="shared" si="12"/>
        <v>0</v>
      </c>
      <c r="K172" s="271"/>
      <c r="L172" s="279"/>
      <c r="M172" s="280"/>
      <c r="N172" s="279"/>
      <c r="O172" s="279"/>
      <c r="P172" s="279"/>
      <c r="Q172" s="280"/>
      <c r="R172" s="279"/>
      <c r="S172" s="283"/>
      <c r="T172" s="284"/>
      <c r="U172" s="280"/>
      <c r="V172" s="279"/>
      <c r="W172" s="281"/>
      <c r="X172" s="117">
        <f t="shared" si="1"/>
        <v>0</v>
      </c>
      <c r="Y172" s="135"/>
    </row>
    <row r="173" spans="1:25" ht="15.75">
      <c r="A173" s="469"/>
      <c r="B173" s="484" t="s">
        <v>267</v>
      </c>
      <c r="C173" s="484" t="s">
        <v>268</v>
      </c>
      <c r="D173" s="174">
        <v>164</v>
      </c>
      <c r="E173" s="174" t="s">
        <v>269</v>
      </c>
      <c r="F173" s="271"/>
      <c r="G173" s="289"/>
      <c r="H173" s="289"/>
      <c r="I173" s="289"/>
      <c r="J173" s="296">
        <f t="shared" si="12"/>
        <v>0</v>
      </c>
      <c r="K173" s="271"/>
      <c r="L173" s="279"/>
      <c r="M173" s="280"/>
      <c r="N173" s="279"/>
      <c r="O173" s="279"/>
      <c r="P173" s="279"/>
      <c r="Q173" s="280"/>
      <c r="R173" s="279"/>
      <c r="S173" s="280"/>
      <c r="T173" s="279"/>
      <c r="U173" s="280"/>
      <c r="V173" s="279"/>
      <c r="W173" s="281"/>
      <c r="X173" s="117">
        <f t="shared" si="1"/>
        <v>0</v>
      </c>
      <c r="Y173" s="252"/>
    </row>
    <row r="174" spans="1:25" ht="15.75">
      <c r="A174" s="469"/>
      <c r="B174" s="469"/>
      <c r="C174" s="469"/>
      <c r="D174" s="174">
        <v>165</v>
      </c>
      <c r="E174" s="174" t="s">
        <v>270</v>
      </c>
      <c r="F174" s="271"/>
      <c r="G174" s="289"/>
      <c r="H174" s="289"/>
      <c r="I174" s="289"/>
      <c r="J174" s="296">
        <f t="shared" si="12"/>
        <v>0</v>
      </c>
      <c r="K174" s="271"/>
      <c r="L174" s="279"/>
      <c r="M174" s="280"/>
      <c r="N174" s="279"/>
      <c r="O174" s="279"/>
      <c r="P174" s="279"/>
      <c r="Q174" s="280"/>
      <c r="R174" s="279"/>
      <c r="S174" s="280"/>
      <c r="T174" s="279"/>
      <c r="U174" s="280"/>
      <c r="V174" s="279"/>
      <c r="W174" s="281"/>
      <c r="X174" s="117">
        <f t="shared" si="1"/>
        <v>0</v>
      </c>
      <c r="Y174" s="252"/>
    </row>
    <row r="175" spans="1:25" ht="31.5">
      <c r="A175" s="469"/>
      <c r="B175" s="469"/>
      <c r="C175" s="469"/>
      <c r="D175" s="174">
        <v>166</v>
      </c>
      <c r="E175" s="174" t="s">
        <v>271</v>
      </c>
      <c r="F175" s="271"/>
      <c r="G175" s="289"/>
      <c r="H175" s="289"/>
      <c r="I175" s="289"/>
      <c r="J175" s="296">
        <f t="shared" si="12"/>
        <v>0</v>
      </c>
      <c r="K175" s="271"/>
      <c r="L175" s="279"/>
      <c r="M175" s="280"/>
      <c r="N175" s="279"/>
      <c r="O175" s="279"/>
      <c r="P175" s="279"/>
      <c r="Q175" s="280"/>
      <c r="R175" s="279"/>
      <c r="S175" s="280"/>
      <c r="T175" s="279"/>
      <c r="U175" s="280"/>
      <c r="V175" s="279"/>
      <c r="W175" s="281"/>
      <c r="X175" s="117">
        <f t="shared" si="1"/>
        <v>0</v>
      </c>
      <c r="Y175" s="252"/>
    </row>
    <row r="176" spans="1:25" ht="15.75">
      <c r="A176" s="469"/>
      <c r="B176" s="469"/>
      <c r="C176" s="469"/>
      <c r="D176" s="174">
        <v>167</v>
      </c>
      <c r="E176" s="174" t="s">
        <v>272</v>
      </c>
      <c r="F176" s="271"/>
      <c r="G176" s="289"/>
      <c r="H176" s="289"/>
      <c r="I176" s="289"/>
      <c r="J176" s="296">
        <f t="shared" si="12"/>
        <v>0</v>
      </c>
      <c r="K176" s="271"/>
      <c r="L176" s="279"/>
      <c r="M176" s="280"/>
      <c r="N176" s="279"/>
      <c r="O176" s="279"/>
      <c r="P176" s="279"/>
      <c r="Q176" s="280"/>
      <c r="R176" s="279"/>
      <c r="S176" s="280"/>
      <c r="T176" s="279"/>
      <c r="U176" s="280"/>
      <c r="V176" s="279"/>
      <c r="W176" s="281"/>
      <c r="X176" s="117">
        <f t="shared" si="1"/>
        <v>0</v>
      </c>
      <c r="Y176" s="252"/>
    </row>
    <row r="177" spans="1:26" ht="15.75">
      <c r="A177" s="469"/>
      <c r="B177" s="469"/>
      <c r="C177" s="469"/>
      <c r="D177" s="174">
        <v>168</v>
      </c>
      <c r="E177" s="174" t="s">
        <v>273</v>
      </c>
      <c r="F177" s="271"/>
      <c r="G177" s="289"/>
      <c r="H177" s="289"/>
      <c r="I177" s="289"/>
      <c r="J177" s="296">
        <f t="shared" si="12"/>
        <v>0</v>
      </c>
      <c r="K177" s="271"/>
      <c r="L177" s="279"/>
      <c r="M177" s="280"/>
      <c r="N177" s="279"/>
      <c r="O177" s="279"/>
      <c r="P177" s="279"/>
      <c r="Q177" s="280"/>
      <c r="R177" s="279"/>
      <c r="S177" s="280"/>
      <c r="T177" s="279"/>
      <c r="U177" s="280"/>
      <c r="V177" s="279"/>
      <c r="W177" s="281"/>
      <c r="X177" s="117">
        <f t="shared" si="1"/>
        <v>0</v>
      </c>
      <c r="Y177" s="252"/>
    </row>
    <row r="178" spans="1:26" ht="47.25">
      <c r="A178" s="469"/>
      <c r="B178" s="469"/>
      <c r="C178" s="469"/>
      <c r="D178" s="174">
        <v>169</v>
      </c>
      <c r="E178" s="174" t="s">
        <v>274</v>
      </c>
      <c r="F178" s="271"/>
      <c r="G178" s="289"/>
      <c r="H178" s="289"/>
      <c r="I178" s="289"/>
      <c r="J178" s="296">
        <f t="shared" si="12"/>
        <v>0</v>
      </c>
      <c r="K178" s="288"/>
      <c r="L178" s="282"/>
      <c r="M178" s="280"/>
      <c r="N178" s="279"/>
      <c r="O178" s="279"/>
      <c r="P178" s="279"/>
      <c r="Q178" s="280"/>
      <c r="R178" s="279"/>
      <c r="S178" s="280"/>
      <c r="T178" s="279"/>
      <c r="U178" s="280"/>
      <c r="V178" s="279"/>
      <c r="W178" s="281"/>
      <c r="X178" s="117">
        <f t="shared" si="1"/>
        <v>0</v>
      </c>
      <c r="Y178" s="252"/>
    </row>
    <row r="179" spans="1:26" ht="63">
      <c r="A179" s="469"/>
      <c r="B179" s="469"/>
      <c r="C179" s="469"/>
      <c r="D179" s="174">
        <v>170</v>
      </c>
      <c r="E179" s="174" t="s">
        <v>275</v>
      </c>
      <c r="F179" s="271"/>
      <c r="G179" s="271"/>
      <c r="H179" s="271"/>
      <c r="I179" s="271"/>
      <c r="J179" s="278">
        <f t="shared" si="12"/>
        <v>0</v>
      </c>
      <c r="K179" s="271"/>
      <c r="L179" s="279"/>
      <c r="M179" s="280"/>
      <c r="N179" s="279"/>
      <c r="O179" s="279"/>
      <c r="P179" s="279"/>
      <c r="Q179" s="280"/>
      <c r="R179" s="279"/>
      <c r="S179" s="280"/>
      <c r="T179" s="279"/>
      <c r="U179" s="280"/>
      <c r="V179" s="279"/>
      <c r="W179" s="281"/>
      <c r="X179" s="117">
        <f t="shared" si="1"/>
        <v>0</v>
      </c>
      <c r="Y179" s="252"/>
    </row>
    <row r="180" spans="1:26" ht="31.5">
      <c r="A180" s="469"/>
      <c r="B180" s="484" t="s">
        <v>276</v>
      </c>
      <c r="C180" s="484" t="s">
        <v>277</v>
      </c>
      <c r="D180" s="174">
        <v>171</v>
      </c>
      <c r="E180" s="174" t="s">
        <v>278</v>
      </c>
      <c r="F180" s="271"/>
      <c r="G180" s="271"/>
      <c r="H180" s="271"/>
      <c r="I180" s="271"/>
      <c r="J180" s="278">
        <f t="shared" si="12"/>
        <v>0</v>
      </c>
      <c r="K180" s="271"/>
      <c r="L180" s="279"/>
      <c r="M180" s="280"/>
      <c r="N180" s="279"/>
      <c r="O180" s="279"/>
      <c r="P180" s="279"/>
      <c r="Q180" s="280"/>
      <c r="R180" s="279"/>
      <c r="S180" s="280"/>
      <c r="T180" s="279"/>
      <c r="U180" s="280"/>
      <c r="V180" s="279"/>
      <c r="W180" s="281"/>
      <c r="X180" s="117">
        <f t="shared" si="1"/>
        <v>0</v>
      </c>
      <c r="Y180" s="252"/>
    </row>
    <row r="181" spans="1:26" ht="31.5">
      <c r="A181" s="469"/>
      <c r="B181" s="469"/>
      <c r="C181" s="469"/>
      <c r="D181" s="174">
        <v>172</v>
      </c>
      <c r="E181" s="174" t="s">
        <v>279</v>
      </c>
      <c r="F181" s="271"/>
      <c r="G181" s="271"/>
      <c r="H181" s="271"/>
      <c r="I181" s="271"/>
      <c r="J181" s="278">
        <f t="shared" si="12"/>
        <v>0</v>
      </c>
      <c r="K181" s="271"/>
      <c r="L181" s="279"/>
      <c r="M181" s="280"/>
      <c r="N181" s="279"/>
      <c r="O181" s="279"/>
      <c r="P181" s="279"/>
      <c r="Q181" s="280"/>
      <c r="R181" s="279"/>
      <c r="S181" s="281"/>
      <c r="T181" s="282"/>
      <c r="U181" s="280"/>
      <c r="V181" s="279"/>
      <c r="W181" s="281"/>
      <c r="X181" s="117">
        <f t="shared" si="1"/>
        <v>0</v>
      </c>
      <c r="Y181" s="252"/>
    </row>
    <row r="182" spans="1:26" ht="31.5">
      <c r="A182" s="469"/>
      <c r="B182" s="469"/>
      <c r="C182" s="469"/>
      <c r="D182" s="174">
        <v>173</v>
      </c>
      <c r="E182" s="174" t="s">
        <v>280</v>
      </c>
      <c r="F182" s="271"/>
      <c r="G182" s="271"/>
      <c r="H182" s="271"/>
      <c r="I182" s="271"/>
      <c r="J182" s="278">
        <f t="shared" si="12"/>
        <v>0</v>
      </c>
      <c r="K182" s="271"/>
      <c r="L182" s="279"/>
      <c r="M182" s="280"/>
      <c r="N182" s="279"/>
      <c r="O182" s="279"/>
      <c r="P182" s="279"/>
      <c r="Q182" s="280"/>
      <c r="R182" s="279"/>
      <c r="S182" s="280"/>
      <c r="T182" s="279"/>
      <c r="U182" s="280"/>
      <c r="V182" s="279"/>
      <c r="W182" s="281"/>
      <c r="X182" s="117">
        <f t="shared" si="1"/>
        <v>0</v>
      </c>
      <c r="Y182" s="252"/>
    </row>
    <row r="183" spans="1:26" ht="15.75">
      <c r="A183" s="469"/>
      <c r="B183" s="469"/>
      <c r="C183" s="469"/>
      <c r="D183" s="174">
        <v>174</v>
      </c>
      <c r="E183" s="174" t="s">
        <v>281</v>
      </c>
      <c r="F183" s="271"/>
      <c r="G183" s="271"/>
      <c r="H183" s="271"/>
      <c r="I183" s="271"/>
      <c r="J183" s="278">
        <f t="shared" si="12"/>
        <v>0</v>
      </c>
      <c r="K183" s="271"/>
      <c r="L183" s="279"/>
      <c r="M183" s="280"/>
      <c r="N183" s="279"/>
      <c r="O183" s="279"/>
      <c r="P183" s="279"/>
      <c r="Q183" s="280"/>
      <c r="R183" s="279"/>
      <c r="S183" s="281"/>
      <c r="T183" s="282"/>
      <c r="U183" s="280"/>
      <c r="V183" s="279"/>
      <c r="W183" s="281"/>
      <c r="X183" s="117">
        <f t="shared" si="1"/>
        <v>0</v>
      </c>
      <c r="Y183" s="252"/>
    </row>
    <row r="184" spans="1:26" ht="220.5">
      <c r="A184" s="469"/>
      <c r="B184" s="484" t="s">
        <v>282</v>
      </c>
      <c r="C184" s="484" t="s">
        <v>230</v>
      </c>
      <c r="D184" s="174">
        <v>175</v>
      </c>
      <c r="E184" s="174" t="s">
        <v>231</v>
      </c>
      <c r="F184" s="271"/>
      <c r="G184" s="271"/>
      <c r="H184" s="271"/>
      <c r="I184" s="271"/>
      <c r="J184" s="278">
        <f t="shared" si="12"/>
        <v>0</v>
      </c>
      <c r="K184" s="289"/>
      <c r="L184" s="286"/>
      <c r="M184" s="280"/>
      <c r="N184" s="279"/>
      <c r="O184" s="279"/>
      <c r="P184" s="279"/>
      <c r="Q184" s="280"/>
      <c r="R184" s="279"/>
      <c r="S184" s="283"/>
      <c r="T184" s="168">
        <v>51.24</v>
      </c>
      <c r="U184" s="283"/>
      <c r="V184" s="284"/>
      <c r="W184" s="281"/>
      <c r="X184" s="117">
        <f t="shared" si="1"/>
        <v>51.24</v>
      </c>
      <c r="Y184" s="135" t="s">
        <v>683</v>
      </c>
    </row>
    <row r="185" spans="1:26" ht="346.5">
      <c r="A185" s="469"/>
      <c r="B185" s="469"/>
      <c r="C185" s="469"/>
      <c r="D185" s="106">
        <v>176</v>
      </c>
      <c r="E185" s="106" t="s">
        <v>232</v>
      </c>
      <c r="F185" s="252"/>
      <c r="G185" s="252"/>
      <c r="H185" s="252"/>
      <c r="I185" s="252"/>
      <c r="J185" s="116">
        <f t="shared" si="12"/>
        <v>0</v>
      </c>
      <c r="K185" s="252"/>
      <c r="L185" s="292"/>
      <c r="M185" s="292"/>
      <c r="N185" s="292"/>
      <c r="O185" s="292"/>
      <c r="P185" s="292"/>
      <c r="Q185" s="293"/>
      <c r="R185" s="318">
        <v>10</v>
      </c>
      <c r="S185" s="293"/>
      <c r="T185" s="294">
        <v>17.004000000000001</v>
      </c>
      <c r="U185" s="292"/>
      <c r="V185" s="292"/>
      <c r="W185" s="295"/>
      <c r="X185" s="117">
        <f t="shared" si="1"/>
        <v>27.004000000000001</v>
      </c>
      <c r="Y185" s="135" t="s">
        <v>684</v>
      </c>
      <c r="Z185" s="157"/>
    </row>
    <row r="186" spans="1:26" ht="29.25" hidden="1" customHeight="1">
      <c r="A186" s="469"/>
      <c r="B186" s="469"/>
      <c r="C186" s="469"/>
      <c r="D186" s="174">
        <v>177</v>
      </c>
      <c r="E186" s="174" t="s">
        <v>233</v>
      </c>
      <c r="F186" s="271"/>
      <c r="G186" s="271"/>
      <c r="H186" s="271"/>
      <c r="I186" s="271"/>
      <c r="J186" s="278">
        <f t="shared" si="12"/>
        <v>0</v>
      </c>
      <c r="K186" s="271"/>
      <c r="L186" s="279"/>
      <c r="M186" s="280"/>
      <c r="N186" s="279"/>
      <c r="O186" s="279"/>
      <c r="P186" s="279"/>
      <c r="Q186" s="280"/>
      <c r="R186" s="279"/>
      <c r="S186" s="280"/>
      <c r="T186" s="279"/>
      <c r="U186" s="280"/>
      <c r="V186" s="279"/>
      <c r="W186" s="281"/>
      <c r="X186" s="117">
        <f t="shared" si="1"/>
        <v>0</v>
      </c>
      <c r="Y186" s="135" t="s">
        <v>356</v>
      </c>
    </row>
    <row r="187" spans="1:26" ht="204.75">
      <c r="A187" s="469"/>
      <c r="B187" s="484" t="s">
        <v>283</v>
      </c>
      <c r="C187" s="484" t="s">
        <v>284</v>
      </c>
      <c r="D187" s="174">
        <v>178</v>
      </c>
      <c r="E187" s="174" t="s">
        <v>285</v>
      </c>
      <c r="F187" s="271"/>
      <c r="G187" s="271"/>
      <c r="H187" s="271"/>
      <c r="I187" s="271"/>
      <c r="J187" s="278">
        <f t="shared" si="12"/>
        <v>0</v>
      </c>
      <c r="K187" s="271"/>
      <c r="L187" s="279"/>
      <c r="M187" s="280"/>
      <c r="N187" s="279"/>
      <c r="O187" s="279"/>
      <c r="P187" s="279"/>
      <c r="Q187" s="280"/>
      <c r="R187" s="279"/>
      <c r="S187" s="280"/>
      <c r="T187" s="285"/>
      <c r="U187" s="280"/>
      <c r="V187" s="279"/>
      <c r="W187" s="281"/>
      <c r="X187" s="117">
        <f t="shared" si="1"/>
        <v>0</v>
      </c>
      <c r="Y187" s="135" t="s">
        <v>345</v>
      </c>
    </row>
    <row r="188" spans="1:26" ht="15.75">
      <c r="A188" s="469"/>
      <c r="B188" s="469"/>
      <c r="C188" s="469"/>
      <c r="D188" s="174">
        <v>179</v>
      </c>
      <c r="E188" s="174" t="s">
        <v>125</v>
      </c>
      <c r="F188" s="271"/>
      <c r="G188" s="271"/>
      <c r="H188" s="271"/>
      <c r="I188" s="271"/>
      <c r="J188" s="278">
        <f t="shared" si="12"/>
        <v>0</v>
      </c>
      <c r="K188" s="271"/>
      <c r="L188" s="279"/>
      <c r="M188" s="280"/>
      <c r="N188" s="279"/>
      <c r="O188" s="279"/>
      <c r="P188" s="279"/>
      <c r="Q188" s="280"/>
      <c r="R188" s="279"/>
      <c r="S188" s="280"/>
      <c r="T188" s="279"/>
      <c r="U188" s="280"/>
      <c r="V188" s="279"/>
      <c r="W188" s="281"/>
      <c r="X188" s="117">
        <f t="shared" si="1"/>
        <v>0</v>
      </c>
      <c r="Y188" s="252"/>
    </row>
    <row r="189" spans="1:26" ht="31.5">
      <c r="A189" s="469"/>
      <c r="B189" s="469"/>
      <c r="C189" s="469"/>
      <c r="D189" s="174">
        <v>180</v>
      </c>
      <c r="E189" s="174" t="s">
        <v>286</v>
      </c>
      <c r="F189" s="271"/>
      <c r="G189" s="271"/>
      <c r="H189" s="271"/>
      <c r="I189" s="271"/>
      <c r="J189" s="278">
        <f t="shared" si="12"/>
        <v>0</v>
      </c>
      <c r="K189" s="271"/>
      <c r="L189" s="279"/>
      <c r="M189" s="280"/>
      <c r="N189" s="279"/>
      <c r="O189" s="282"/>
      <c r="P189" s="282"/>
      <c r="Q189" s="280"/>
      <c r="R189" s="279"/>
      <c r="S189" s="283"/>
      <c r="T189" s="284"/>
      <c r="U189" s="280"/>
      <c r="V189" s="279"/>
      <c r="W189" s="281"/>
      <c r="X189" s="117">
        <f t="shared" si="1"/>
        <v>0</v>
      </c>
      <c r="Y189" s="252"/>
    </row>
    <row r="190" spans="1:26" ht="31.5">
      <c r="A190" s="469"/>
      <c r="B190" s="469"/>
      <c r="C190" s="469"/>
      <c r="D190" s="174">
        <v>181</v>
      </c>
      <c r="E190" s="174" t="s">
        <v>287</v>
      </c>
      <c r="F190" s="271"/>
      <c r="G190" s="271"/>
      <c r="H190" s="271"/>
      <c r="I190" s="271"/>
      <c r="J190" s="278">
        <f t="shared" si="12"/>
        <v>0</v>
      </c>
      <c r="K190" s="271"/>
      <c r="L190" s="279"/>
      <c r="M190" s="280"/>
      <c r="N190" s="279"/>
      <c r="O190" s="279"/>
      <c r="P190" s="279"/>
      <c r="Q190" s="280"/>
      <c r="R190" s="279"/>
      <c r="S190" s="280"/>
      <c r="T190" s="279"/>
      <c r="U190" s="280"/>
      <c r="V190" s="279"/>
      <c r="W190" s="281"/>
      <c r="X190" s="117">
        <f t="shared" si="1"/>
        <v>0</v>
      </c>
      <c r="Y190" s="252"/>
    </row>
    <row r="191" spans="1:26" ht="94.5">
      <c r="A191" s="469"/>
      <c r="B191" s="469"/>
      <c r="C191" s="469"/>
      <c r="D191" s="174">
        <v>182</v>
      </c>
      <c r="E191" s="174" t="s">
        <v>288</v>
      </c>
      <c r="F191" s="271"/>
      <c r="G191" s="271"/>
      <c r="H191" s="271"/>
      <c r="I191" s="271"/>
      <c r="J191" s="278">
        <f t="shared" si="12"/>
        <v>0</v>
      </c>
      <c r="K191" s="271"/>
      <c r="L191" s="279"/>
      <c r="M191" s="280"/>
      <c r="N191" s="279"/>
      <c r="O191" s="279"/>
      <c r="P191" s="279"/>
      <c r="Q191" s="280"/>
      <c r="R191" s="279"/>
      <c r="S191" s="281"/>
      <c r="T191" s="167">
        <f>((3*0.5*12)+(1*0.65*12))</f>
        <v>25.8</v>
      </c>
      <c r="U191" s="280"/>
      <c r="V191" s="279"/>
      <c r="W191" s="281"/>
      <c r="X191" s="117">
        <f t="shared" si="1"/>
        <v>25.8</v>
      </c>
      <c r="Y191" s="319" t="s">
        <v>664</v>
      </c>
    </row>
    <row r="192" spans="1:26" ht="63" hidden="1">
      <c r="A192" s="469"/>
      <c r="B192" s="469"/>
      <c r="C192" s="469"/>
      <c r="D192" s="174">
        <v>183</v>
      </c>
      <c r="E192" s="174" t="s">
        <v>289</v>
      </c>
      <c r="F192" s="271"/>
      <c r="G192" s="271"/>
      <c r="H192" s="271"/>
      <c r="I192" s="271"/>
      <c r="J192" s="278">
        <f t="shared" si="12"/>
        <v>0</v>
      </c>
      <c r="K192" s="271"/>
      <c r="L192" s="279"/>
      <c r="M192" s="280"/>
      <c r="N192" s="279"/>
      <c r="O192" s="279"/>
      <c r="P192" s="279"/>
      <c r="Q192" s="280"/>
      <c r="R192" s="279"/>
      <c r="S192" s="283"/>
      <c r="T192" s="284"/>
      <c r="U192" s="280"/>
      <c r="V192" s="279"/>
      <c r="W192" s="281"/>
      <c r="X192" s="117">
        <f t="shared" si="1"/>
        <v>0</v>
      </c>
      <c r="Y192" s="252" t="s">
        <v>357</v>
      </c>
    </row>
    <row r="193" spans="1:25" ht="47.25">
      <c r="A193" s="469"/>
      <c r="B193" s="174" t="s">
        <v>290</v>
      </c>
      <c r="C193" s="174" t="s">
        <v>291</v>
      </c>
      <c r="D193" s="174">
        <v>184</v>
      </c>
      <c r="E193" s="174" t="s">
        <v>292</v>
      </c>
      <c r="F193" s="271"/>
      <c r="G193" s="271"/>
      <c r="H193" s="271"/>
      <c r="I193" s="271"/>
      <c r="J193" s="278">
        <f t="shared" si="12"/>
        <v>0</v>
      </c>
      <c r="K193" s="271"/>
      <c r="L193" s="279"/>
      <c r="M193" s="280"/>
      <c r="N193" s="279"/>
      <c r="O193" s="279"/>
      <c r="P193" s="279"/>
      <c r="Q193" s="280"/>
      <c r="R193" s="279"/>
      <c r="S193" s="281"/>
      <c r="T193" s="282"/>
      <c r="U193" s="280"/>
      <c r="V193" s="279"/>
      <c r="W193" s="281"/>
      <c r="X193" s="117">
        <f t="shared" si="1"/>
        <v>0</v>
      </c>
      <c r="Y193" s="252"/>
    </row>
    <row r="194" spans="1:25" ht="31.5">
      <c r="A194" s="469"/>
      <c r="B194" s="484" t="s">
        <v>293</v>
      </c>
      <c r="C194" s="484" t="s">
        <v>235</v>
      </c>
      <c r="D194" s="174">
        <v>185</v>
      </c>
      <c r="E194" s="174" t="s">
        <v>236</v>
      </c>
      <c r="F194" s="271"/>
      <c r="G194" s="271"/>
      <c r="H194" s="271"/>
      <c r="I194" s="271"/>
      <c r="J194" s="278">
        <f t="shared" si="12"/>
        <v>0</v>
      </c>
      <c r="K194" s="271"/>
      <c r="L194" s="279"/>
      <c r="M194" s="280"/>
      <c r="N194" s="279"/>
      <c r="O194" s="279"/>
      <c r="P194" s="279"/>
      <c r="Q194" s="280"/>
      <c r="R194" s="279"/>
      <c r="S194" s="280"/>
      <c r="T194" s="302">
        <v>2423.0008448000003</v>
      </c>
      <c r="U194" s="280"/>
      <c r="V194" s="279"/>
      <c r="W194" s="281"/>
      <c r="X194" s="117">
        <f t="shared" si="1"/>
        <v>2423.0008448000003</v>
      </c>
      <c r="Y194" s="98" t="s">
        <v>992</v>
      </c>
    </row>
    <row r="195" spans="1:25" ht="299.25">
      <c r="A195" s="469"/>
      <c r="B195" s="469"/>
      <c r="C195" s="469"/>
      <c r="D195" s="174">
        <v>186</v>
      </c>
      <c r="E195" s="174" t="s">
        <v>237</v>
      </c>
      <c r="F195" s="127">
        <v>0.2235</v>
      </c>
      <c r="G195" s="271"/>
      <c r="H195" s="271"/>
      <c r="I195" s="271"/>
      <c r="J195" s="278">
        <f t="shared" si="12"/>
        <v>0</v>
      </c>
      <c r="K195" s="271"/>
      <c r="L195" s="279"/>
      <c r="M195" s="280"/>
      <c r="N195" s="279"/>
      <c r="O195" s="279"/>
      <c r="P195" s="279"/>
      <c r="Q195" s="280"/>
      <c r="R195" s="279"/>
      <c r="S195" s="283"/>
      <c r="T195" s="286">
        <f>5.6+37.56</f>
        <v>43.160000000000004</v>
      </c>
      <c r="U195" s="280"/>
      <c r="V195" s="279"/>
      <c r="W195" s="281"/>
      <c r="X195" s="117">
        <f t="shared" si="1"/>
        <v>43.383500000000005</v>
      </c>
      <c r="Y195" s="97" t="s">
        <v>968</v>
      </c>
    </row>
    <row r="196" spans="1:25" ht="31.5">
      <c r="A196" s="469"/>
      <c r="B196" s="469"/>
      <c r="C196" s="469"/>
      <c r="D196" s="174">
        <v>187</v>
      </c>
      <c r="E196" s="174" t="s">
        <v>294</v>
      </c>
      <c r="F196" s="271"/>
      <c r="G196" s="271"/>
      <c r="H196" s="271"/>
      <c r="I196" s="271"/>
      <c r="J196" s="278">
        <f t="shared" si="12"/>
        <v>0</v>
      </c>
      <c r="K196" s="271"/>
      <c r="L196" s="279"/>
      <c r="M196" s="280"/>
      <c r="N196" s="279"/>
      <c r="O196" s="279"/>
      <c r="P196" s="279"/>
      <c r="Q196" s="280"/>
      <c r="R196" s="279"/>
      <c r="S196" s="280"/>
      <c r="T196" s="302">
        <v>991.49399999999991</v>
      </c>
      <c r="U196" s="280"/>
      <c r="V196" s="279"/>
      <c r="W196" s="281"/>
      <c r="X196" s="117">
        <f t="shared" si="1"/>
        <v>991.49399999999991</v>
      </c>
      <c r="Y196" s="98" t="s">
        <v>993</v>
      </c>
    </row>
    <row r="197" spans="1:25" ht="15.75">
      <c r="A197" s="469"/>
      <c r="B197" s="469"/>
      <c r="C197" s="469"/>
      <c r="D197" s="174">
        <v>188</v>
      </c>
      <c r="E197" s="174" t="s">
        <v>238</v>
      </c>
      <c r="F197" s="271"/>
      <c r="G197" s="271"/>
      <c r="H197" s="271"/>
      <c r="I197" s="271"/>
      <c r="J197" s="278">
        <f t="shared" si="12"/>
        <v>0</v>
      </c>
      <c r="K197" s="271"/>
      <c r="L197" s="279"/>
      <c r="M197" s="280"/>
      <c r="N197" s="279"/>
      <c r="O197" s="279"/>
      <c r="P197" s="279"/>
      <c r="Q197" s="280"/>
      <c r="R197" s="279"/>
      <c r="S197" s="280"/>
      <c r="T197" s="279"/>
      <c r="U197" s="280"/>
      <c r="V197" s="279"/>
      <c r="W197" s="281"/>
      <c r="X197" s="117">
        <f t="shared" si="1"/>
        <v>0</v>
      </c>
      <c r="Y197" s="252"/>
    </row>
    <row r="198" spans="1:25" ht="47.25">
      <c r="A198" s="469"/>
      <c r="B198" s="469"/>
      <c r="C198" s="469"/>
      <c r="D198" s="174">
        <v>189</v>
      </c>
      <c r="E198" s="174" t="s">
        <v>295</v>
      </c>
      <c r="F198" s="271"/>
      <c r="G198" s="271"/>
      <c r="H198" s="271"/>
      <c r="I198" s="271"/>
      <c r="J198" s="278">
        <f t="shared" si="12"/>
        <v>0</v>
      </c>
      <c r="K198" s="271"/>
      <c r="L198" s="279"/>
      <c r="M198" s="280"/>
      <c r="N198" s="279"/>
      <c r="O198" s="279"/>
      <c r="P198" s="279"/>
      <c r="Q198" s="280"/>
      <c r="R198" s="279"/>
      <c r="S198" s="280"/>
      <c r="T198" s="279"/>
      <c r="U198" s="280"/>
      <c r="V198" s="279"/>
      <c r="W198" s="281"/>
      <c r="X198" s="117">
        <f t="shared" si="1"/>
        <v>0</v>
      </c>
      <c r="Y198" s="252"/>
    </row>
    <row r="199" spans="1:25" ht="47.25" hidden="1">
      <c r="A199" s="469"/>
      <c r="B199" s="469"/>
      <c r="C199" s="469"/>
      <c r="D199" s="174">
        <v>190</v>
      </c>
      <c r="E199" s="174" t="s">
        <v>296</v>
      </c>
      <c r="F199" s="271"/>
      <c r="G199" s="271"/>
      <c r="H199" s="271"/>
      <c r="I199" s="271"/>
      <c r="J199" s="278">
        <f t="shared" si="12"/>
        <v>0</v>
      </c>
      <c r="K199" s="271"/>
      <c r="L199" s="279"/>
      <c r="M199" s="280"/>
      <c r="N199" s="279"/>
      <c r="O199" s="279"/>
      <c r="P199" s="279"/>
      <c r="Q199" s="280"/>
      <c r="R199" s="279"/>
      <c r="S199" s="283"/>
      <c r="T199" s="284"/>
      <c r="U199" s="280"/>
      <c r="V199" s="279"/>
      <c r="W199" s="281"/>
      <c r="X199" s="117">
        <f t="shared" si="1"/>
        <v>0</v>
      </c>
      <c r="Y199" s="252"/>
    </row>
    <row r="200" spans="1:25" ht="31.5">
      <c r="A200" s="469"/>
      <c r="B200" s="484" t="s">
        <v>297</v>
      </c>
      <c r="C200" s="484" t="s">
        <v>298</v>
      </c>
      <c r="D200" s="174">
        <v>191</v>
      </c>
      <c r="E200" s="174" t="s">
        <v>299</v>
      </c>
      <c r="F200" s="271"/>
      <c r="G200" s="271"/>
      <c r="H200" s="271"/>
      <c r="I200" s="271"/>
      <c r="J200" s="278">
        <f t="shared" si="12"/>
        <v>0</v>
      </c>
      <c r="K200" s="271"/>
      <c r="L200" s="279"/>
      <c r="M200" s="280"/>
      <c r="N200" s="279"/>
      <c r="O200" s="279"/>
      <c r="P200" s="279"/>
      <c r="Q200" s="280"/>
      <c r="R200" s="279"/>
      <c r="S200" s="280"/>
      <c r="T200" s="279"/>
      <c r="U200" s="280"/>
      <c r="V200" s="279"/>
      <c r="W200" s="281"/>
      <c r="X200" s="117">
        <f t="shared" si="1"/>
        <v>0</v>
      </c>
      <c r="Y200" s="252"/>
    </row>
    <row r="201" spans="1:25" ht="31.5">
      <c r="A201" s="469"/>
      <c r="B201" s="469"/>
      <c r="C201" s="469"/>
      <c r="D201" s="174">
        <v>192</v>
      </c>
      <c r="E201" s="174" t="s">
        <v>300</v>
      </c>
      <c r="F201" s="271"/>
      <c r="G201" s="271"/>
      <c r="H201" s="271"/>
      <c r="I201" s="289"/>
      <c r="J201" s="296">
        <f t="shared" si="12"/>
        <v>0</v>
      </c>
      <c r="K201" s="271"/>
      <c r="L201" s="279"/>
      <c r="M201" s="280"/>
      <c r="N201" s="279"/>
      <c r="O201" s="279"/>
      <c r="P201" s="279"/>
      <c r="Q201" s="280"/>
      <c r="R201" s="279"/>
      <c r="S201" s="281"/>
      <c r="T201" s="282"/>
      <c r="U201" s="280"/>
      <c r="V201" s="279"/>
      <c r="W201" s="281"/>
      <c r="X201" s="117">
        <f t="shared" si="1"/>
        <v>0</v>
      </c>
      <c r="Y201" s="252"/>
    </row>
    <row r="202" spans="1:25" ht="31.5">
      <c r="A202" s="469"/>
      <c r="B202" s="484" t="s">
        <v>301</v>
      </c>
      <c r="C202" s="484" t="s">
        <v>241</v>
      </c>
      <c r="D202" s="174">
        <v>193</v>
      </c>
      <c r="E202" s="174" t="s">
        <v>302</v>
      </c>
      <c r="F202" s="271"/>
      <c r="G202" s="271"/>
      <c r="H202" s="271"/>
      <c r="I202" s="271"/>
      <c r="J202" s="278">
        <f t="shared" si="12"/>
        <v>0</v>
      </c>
      <c r="K202" s="271"/>
      <c r="L202" s="279"/>
      <c r="M202" s="280"/>
      <c r="N202" s="279"/>
      <c r="O202" s="279"/>
      <c r="P202" s="279"/>
      <c r="Q202" s="280"/>
      <c r="R202" s="279"/>
      <c r="S202" s="281"/>
      <c r="T202" s="282"/>
      <c r="U202" s="283"/>
      <c r="V202" s="284"/>
      <c r="W202" s="281"/>
      <c r="X202" s="117">
        <f t="shared" si="1"/>
        <v>0</v>
      </c>
      <c r="Y202" s="252"/>
    </row>
    <row r="203" spans="1:25" ht="31.5">
      <c r="A203" s="469"/>
      <c r="B203" s="469"/>
      <c r="C203" s="469"/>
      <c r="D203" s="174">
        <v>194</v>
      </c>
      <c r="E203" s="174" t="s">
        <v>242</v>
      </c>
      <c r="F203" s="271"/>
      <c r="G203" s="271"/>
      <c r="H203" s="271"/>
      <c r="I203" s="271"/>
      <c r="J203" s="278">
        <f t="shared" si="12"/>
        <v>0</v>
      </c>
      <c r="K203" s="271"/>
      <c r="L203" s="279"/>
      <c r="M203" s="280"/>
      <c r="N203" s="279"/>
      <c r="O203" s="279"/>
      <c r="P203" s="279"/>
      <c r="Q203" s="280"/>
      <c r="R203" s="279"/>
      <c r="S203" s="280"/>
      <c r="T203" s="279">
        <v>85.08</v>
      </c>
      <c r="U203" s="280"/>
      <c r="V203" s="279"/>
      <c r="W203" s="281"/>
      <c r="X203" s="117">
        <f t="shared" si="1"/>
        <v>85.08</v>
      </c>
      <c r="Y203" s="98" t="s">
        <v>1221</v>
      </c>
    </row>
    <row r="204" spans="1:25" ht="47.25">
      <c r="A204" s="469"/>
      <c r="B204" s="484" t="s">
        <v>303</v>
      </c>
      <c r="C204" s="484" t="s">
        <v>304</v>
      </c>
      <c r="D204" s="174">
        <v>195</v>
      </c>
      <c r="E204" s="174" t="s">
        <v>305</v>
      </c>
      <c r="F204" s="271"/>
      <c r="G204" s="271"/>
      <c r="H204" s="271"/>
      <c r="I204" s="271"/>
      <c r="J204" s="278">
        <f t="shared" si="12"/>
        <v>0</v>
      </c>
      <c r="K204" s="271"/>
      <c r="L204" s="279"/>
      <c r="M204" s="280"/>
      <c r="N204" s="279"/>
      <c r="O204" s="279"/>
      <c r="P204" s="279"/>
      <c r="Q204" s="280"/>
      <c r="R204" s="279"/>
      <c r="S204" s="281"/>
      <c r="T204" s="282"/>
      <c r="U204" s="280"/>
      <c r="V204" s="285"/>
      <c r="W204" s="281"/>
      <c r="X204" s="117">
        <f t="shared" si="1"/>
        <v>0</v>
      </c>
      <c r="Y204" s="135"/>
    </row>
    <row r="205" spans="1:25" ht="31.5">
      <c r="A205" s="469"/>
      <c r="B205" s="469"/>
      <c r="C205" s="469"/>
      <c r="D205" s="174">
        <v>196</v>
      </c>
      <c r="E205" s="174" t="s">
        <v>306</v>
      </c>
      <c r="F205" s="271"/>
      <c r="G205" s="271"/>
      <c r="H205" s="271"/>
      <c r="I205" s="271"/>
      <c r="J205" s="278">
        <f t="shared" si="12"/>
        <v>0</v>
      </c>
      <c r="K205" s="271"/>
      <c r="L205" s="279"/>
      <c r="M205" s="280"/>
      <c r="N205" s="279"/>
      <c r="O205" s="279"/>
      <c r="P205" s="279"/>
      <c r="Q205" s="280"/>
      <c r="R205" s="279"/>
      <c r="S205" s="280"/>
      <c r="T205" s="279"/>
      <c r="U205" s="280"/>
      <c r="V205" s="279"/>
      <c r="W205" s="281"/>
      <c r="X205" s="117">
        <f t="shared" si="1"/>
        <v>0</v>
      </c>
      <c r="Y205" s="252"/>
    </row>
    <row r="206" spans="1:25" ht="15.75">
      <c r="A206" s="469"/>
      <c r="B206" s="469"/>
      <c r="C206" s="469"/>
      <c r="D206" s="174">
        <v>197</v>
      </c>
      <c r="E206" s="174" t="s">
        <v>307</v>
      </c>
      <c r="F206" s="271"/>
      <c r="G206" s="271"/>
      <c r="H206" s="271"/>
      <c r="I206" s="271"/>
      <c r="J206" s="278">
        <f t="shared" si="12"/>
        <v>0</v>
      </c>
      <c r="K206" s="271"/>
      <c r="L206" s="279"/>
      <c r="M206" s="280"/>
      <c r="N206" s="279"/>
      <c r="O206" s="279"/>
      <c r="P206" s="279"/>
      <c r="Q206" s="280"/>
      <c r="R206" s="279"/>
      <c r="S206" s="281"/>
      <c r="T206" s="320"/>
      <c r="U206" s="280"/>
      <c r="V206" s="279"/>
      <c r="W206" s="281"/>
      <c r="X206" s="117">
        <f t="shared" si="1"/>
        <v>0</v>
      </c>
      <c r="Y206" s="135"/>
    </row>
    <row r="207" spans="1:25" ht="63">
      <c r="A207" s="469"/>
      <c r="B207" s="174" t="s">
        <v>308</v>
      </c>
      <c r="C207" s="174" t="s">
        <v>246</v>
      </c>
      <c r="D207" s="174">
        <v>198</v>
      </c>
      <c r="E207" s="174" t="s">
        <v>247</v>
      </c>
      <c r="F207" s="271"/>
      <c r="G207" s="271"/>
      <c r="H207" s="271"/>
      <c r="I207" s="271"/>
      <c r="J207" s="278">
        <f t="shared" si="12"/>
        <v>0</v>
      </c>
      <c r="K207" s="271"/>
      <c r="L207" s="279"/>
      <c r="M207" s="280"/>
      <c r="N207" s="279"/>
      <c r="O207" s="279"/>
      <c r="P207" s="279"/>
      <c r="Q207" s="280"/>
      <c r="R207" s="279"/>
      <c r="S207" s="280"/>
      <c r="T207" s="279"/>
      <c r="U207" s="280"/>
      <c r="V207" s="279"/>
      <c r="W207" s="281"/>
      <c r="X207" s="117">
        <f t="shared" si="1"/>
        <v>0</v>
      </c>
      <c r="Y207" s="252"/>
    </row>
    <row r="208" spans="1:25" ht="31.5">
      <c r="A208" s="469"/>
      <c r="B208" s="174" t="s">
        <v>309</v>
      </c>
      <c r="C208" s="174" t="s">
        <v>249</v>
      </c>
      <c r="D208" s="174">
        <v>199</v>
      </c>
      <c r="E208" s="174" t="s">
        <v>250</v>
      </c>
      <c r="F208" s="271"/>
      <c r="G208" s="271"/>
      <c r="H208" s="271"/>
      <c r="I208" s="271"/>
      <c r="J208" s="278">
        <f t="shared" si="12"/>
        <v>0</v>
      </c>
      <c r="K208" s="271"/>
      <c r="L208" s="279"/>
      <c r="M208" s="280"/>
      <c r="N208" s="279"/>
      <c r="O208" s="279"/>
      <c r="P208" s="279"/>
      <c r="Q208" s="280"/>
      <c r="R208" s="279"/>
      <c r="S208" s="280"/>
      <c r="T208" s="279">
        <v>87.1</v>
      </c>
      <c r="U208" s="280"/>
      <c r="V208" s="279"/>
      <c r="W208" s="281"/>
      <c r="X208" s="117">
        <f t="shared" si="1"/>
        <v>87.1</v>
      </c>
      <c r="Y208" s="98" t="s">
        <v>981</v>
      </c>
    </row>
    <row r="209" spans="1:25" ht="47.25">
      <c r="A209" s="469"/>
      <c r="B209" s="174" t="s">
        <v>310</v>
      </c>
      <c r="C209" s="172" t="s">
        <v>311</v>
      </c>
      <c r="D209" s="174">
        <v>200</v>
      </c>
      <c r="E209" s="174" t="s">
        <v>312</v>
      </c>
      <c r="F209" s="271"/>
      <c r="G209" s="271"/>
      <c r="H209" s="271"/>
      <c r="I209" s="271"/>
      <c r="J209" s="278">
        <f t="shared" si="12"/>
        <v>0</v>
      </c>
      <c r="K209" s="271"/>
      <c r="L209" s="279"/>
      <c r="M209" s="280"/>
      <c r="N209" s="279"/>
      <c r="O209" s="279"/>
      <c r="P209" s="279"/>
      <c r="Q209" s="280"/>
      <c r="R209" s="279"/>
      <c r="S209" s="280"/>
      <c r="T209" s="279"/>
      <c r="U209" s="280"/>
      <c r="V209" s="279"/>
      <c r="W209" s="281"/>
      <c r="X209" s="117">
        <f t="shared" si="1"/>
        <v>0</v>
      </c>
      <c r="Y209" s="135"/>
    </row>
    <row r="210" spans="1:25" ht="63">
      <c r="A210" s="469"/>
      <c r="B210" s="174" t="s">
        <v>313</v>
      </c>
      <c r="C210" s="174" t="s">
        <v>314</v>
      </c>
      <c r="D210" s="175">
        <v>201</v>
      </c>
      <c r="E210" s="223" t="s">
        <v>315</v>
      </c>
      <c r="F210" s="271"/>
      <c r="G210" s="271"/>
      <c r="H210" s="271"/>
      <c r="I210" s="271"/>
      <c r="J210" s="278">
        <f t="shared" si="12"/>
        <v>0</v>
      </c>
      <c r="K210" s="271"/>
      <c r="L210" s="280"/>
      <c r="M210" s="280"/>
      <c r="N210" s="285">
        <v>0</v>
      </c>
      <c r="O210" s="285">
        <v>0</v>
      </c>
      <c r="P210" s="285">
        <v>0</v>
      </c>
      <c r="Q210" s="280"/>
      <c r="R210" s="279"/>
      <c r="S210" s="280"/>
      <c r="T210" s="285">
        <v>39.819200000000002</v>
      </c>
      <c r="U210" s="280"/>
      <c r="V210" s="279"/>
      <c r="W210" s="281"/>
      <c r="X210" s="117">
        <f t="shared" si="1"/>
        <v>39.819200000000002</v>
      </c>
      <c r="Y210" s="173" t="s">
        <v>1162</v>
      </c>
    </row>
    <row r="211" spans="1:25" ht="47.25">
      <c r="A211" s="469"/>
      <c r="B211" s="174" t="s">
        <v>316</v>
      </c>
      <c r="C211" s="174" t="s">
        <v>317</v>
      </c>
      <c r="D211" s="175">
        <v>202</v>
      </c>
      <c r="E211" s="223" t="s">
        <v>318</v>
      </c>
      <c r="F211" s="271"/>
      <c r="G211" s="271"/>
      <c r="H211" s="271"/>
      <c r="I211" s="271"/>
      <c r="J211" s="278">
        <f t="shared" si="12"/>
        <v>0</v>
      </c>
      <c r="K211" s="271"/>
      <c r="L211" s="280"/>
      <c r="M211" s="280"/>
      <c r="N211" s="285">
        <v>0</v>
      </c>
      <c r="O211" s="279"/>
      <c r="P211" s="279"/>
      <c r="Q211" s="280"/>
      <c r="R211" s="279"/>
      <c r="S211" s="280"/>
      <c r="T211" s="285">
        <v>962.78854000000001</v>
      </c>
      <c r="U211" s="280"/>
      <c r="V211" s="279"/>
      <c r="W211" s="281"/>
      <c r="X211" s="117">
        <f t="shared" si="1"/>
        <v>962.78854000000001</v>
      </c>
      <c r="Y211" s="173" t="s">
        <v>559</v>
      </c>
    </row>
    <row r="212" spans="1:25" ht="78.75">
      <c r="A212" s="469"/>
      <c r="B212" s="174" t="s">
        <v>319</v>
      </c>
      <c r="C212" s="174" t="s">
        <v>320</v>
      </c>
      <c r="D212" s="175">
        <v>203</v>
      </c>
      <c r="E212" s="223" t="s">
        <v>321</v>
      </c>
      <c r="F212" s="271"/>
      <c r="G212" s="271"/>
      <c r="H212" s="271"/>
      <c r="I212" s="271"/>
      <c r="J212" s="278">
        <f t="shared" si="12"/>
        <v>0</v>
      </c>
      <c r="K212" s="271"/>
      <c r="L212" s="280"/>
      <c r="M212" s="280"/>
      <c r="N212" s="280"/>
      <c r="O212" s="280"/>
      <c r="P212" s="321">
        <f>N212+O212</f>
        <v>0</v>
      </c>
      <c r="Q212" s="280"/>
      <c r="R212" s="280"/>
      <c r="S212" s="280"/>
      <c r="T212" s="322"/>
      <c r="U212" s="280"/>
      <c r="V212" s="280"/>
      <c r="W212" s="281"/>
      <c r="X212" s="117">
        <f t="shared" si="1"/>
        <v>0</v>
      </c>
      <c r="Y212" s="97"/>
    </row>
    <row r="213" spans="1:25" ht="47.25">
      <c r="A213" s="469"/>
      <c r="B213" s="174" t="s">
        <v>322</v>
      </c>
      <c r="C213" s="174" t="s">
        <v>323</v>
      </c>
      <c r="D213" s="175">
        <v>204</v>
      </c>
      <c r="E213" s="223" t="s">
        <v>324</v>
      </c>
      <c r="F213" s="271"/>
      <c r="G213" s="271"/>
      <c r="H213" s="271"/>
      <c r="I213" s="271"/>
      <c r="J213" s="278">
        <f t="shared" si="12"/>
        <v>0</v>
      </c>
      <c r="K213" s="271"/>
      <c r="L213" s="280"/>
      <c r="M213" s="280"/>
      <c r="N213" s="280"/>
      <c r="O213" s="280"/>
      <c r="P213" s="321">
        <f>N213+O213</f>
        <v>0</v>
      </c>
      <c r="Q213" s="280"/>
      <c r="R213" s="280"/>
      <c r="S213" s="280"/>
      <c r="T213" s="323">
        <v>22.317</v>
      </c>
      <c r="U213" s="280"/>
      <c r="V213" s="280"/>
      <c r="W213" s="281"/>
      <c r="X213" s="117">
        <f t="shared" si="1"/>
        <v>22.317</v>
      </c>
      <c r="Y213" s="173" t="s">
        <v>676</v>
      </c>
    </row>
    <row r="214" spans="1:25" ht="47.25">
      <c r="A214" s="469"/>
      <c r="B214" s="174" t="s">
        <v>326</v>
      </c>
      <c r="C214" s="174" t="s">
        <v>291</v>
      </c>
      <c r="D214" s="175">
        <v>205</v>
      </c>
      <c r="E214" s="223" t="s">
        <v>327</v>
      </c>
      <c r="F214" s="271"/>
      <c r="G214" s="271"/>
      <c r="H214" s="271"/>
      <c r="I214" s="271"/>
      <c r="J214" s="278">
        <f t="shared" si="12"/>
        <v>0</v>
      </c>
      <c r="K214" s="271"/>
      <c r="L214" s="279">
        <v>0</v>
      </c>
      <c r="M214" s="280"/>
      <c r="N214" s="280"/>
      <c r="O214" s="280"/>
      <c r="P214" s="321">
        <f>N214+O214</f>
        <v>0</v>
      </c>
      <c r="Q214" s="280"/>
      <c r="R214" s="280"/>
      <c r="S214" s="280"/>
      <c r="T214" s="280"/>
      <c r="U214" s="280"/>
      <c r="V214" s="280"/>
      <c r="W214" s="281"/>
      <c r="X214" s="117">
        <f t="shared" si="1"/>
        <v>0</v>
      </c>
      <c r="Y214" s="135"/>
    </row>
    <row r="215" spans="1:25" ht="31.5">
      <c r="A215" s="469"/>
      <c r="B215" s="174" t="s">
        <v>329</v>
      </c>
      <c r="C215" s="174" t="s">
        <v>246</v>
      </c>
      <c r="D215" s="175">
        <v>206</v>
      </c>
      <c r="E215" s="223" t="s">
        <v>330</v>
      </c>
      <c r="F215" s="271"/>
      <c r="G215" s="271"/>
      <c r="H215" s="271"/>
      <c r="I215" s="271"/>
      <c r="J215" s="278">
        <f t="shared" si="12"/>
        <v>0</v>
      </c>
      <c r="K215" s="271"/>
      <c r="L215" s="280"/>
      <c r="M215" s="280"/>
      <c r="N215" s="280"/>
      <c r="O215" s="280"/>
      <c r="P215" s="321">
        <f>N215+O215</f>
        <v>0</v>
      </c>
      <c r="Q215" s="280"/>
      <c r="R215" s="280"/>
      <c r="S215" s="280"/>
      <c r="T215" s="280"/>
      <c r="U215" s="280"/>
      <c r="V215" s="280"/>
      <c r="W215" s="281"/>
      <c r="X215" s="117">
        <f t="shared" si="1"/>
        <v>0</v>
      </c>
      <c r="Y215" s="252"/>
    </row>
    <row r="216" spans="1:25" s="110" customFormat="1" ht="24.75" customHeight="1">
      <c r="A216" s="469"/>
      <c r="B216" s="486" t="s">
        <v>331</v>
      </c>
      <c r="C216" s="479"/>
      <c r="D216" s="479"/>
      <c r="E216" s="324"/>
      <c r="F216" s="100">
        <f t="shared" ref="F216:W216" si="13">SUM(F159:F215)</f>
        <v>0.2235</v>
      </c>
      <c r="G216" s="101">
        <f t="shared" si="13"/>
        <v>0</v>
      </c>
      <c r="H216" s="101">
        <f t="shared" si="13"/>
        <v>130</v>
      </c>
      <c r="I216" s="101">
        <f t="shared" si="13"/>
        <v>0</v>
      </c>
      <c r="J216" s="101">
        <f t="shared" si="13"/>
        <v>130</v>
      </c>
      <c r="K216" s="100">
        <f t="shared" si="13"/>
        <v>0</v>
      </c>
      <c r="L216" s="100">
        <f t="shared" si="13"/>
        <v>0</v>
      </c>
      <c r="M216" s="100">
        <f t="shared" si="13"/>
        <v>0</v>
      </c>
      <c r="N216" s="100">
        <f t="shared" si="13"/>
        <v>0</v>
      </c>
      <c r="O216" s="100">
        <f t="shared" si="13"/>
        <v>0</v>
      </c>
      <c r="P216" s="100">
        <f t="shared" si="13"/>
        <v>0</v>
      </c>
      <c r="Q216" s="100">
        <f t="shared" si="13"/>
        <v>0</v>
      </c>
      <c r="R216" s="100">
        <f t="shared" si="13"/>
        <v>10</v>
      </c>
      <c r="S216" s="101">
        <f t="shared" si="13"/>
        <v>0</v>
      </c>
      <c r="T216" s="101">
        <f t="shared" si="13"/>
        <v>4812.1595847999997</v>
      </c>
      <c r="U216" s="100">
        <f t="shared" si="13"/>
        <v>0</v>
      </c>
      <c r="V216" s="100">
        <f t="shared" si="13"/>
        <v>0</v>
      </c>
      <c r="W216" s="102">
        <f t="shared" si="13"/>
        <v>0</v>
      </c>
      <c r="X216" s="100">
        <f t="shared" si="1"/>
        <v>4952.3830847999998</v>
      </c>
      <c r="Y216" s="331"/>
    </row>
    <row r="217" spans="1:25" ht="20.25" customHeight="1">
      <c r="A217" s="487" t="s">
        <v>332</v>
      </c>
      <c r="B217" s="469"/>
      <c r="C217" s="469"/>
      <c r="D217" s="469"/>
      <c r="E217" s="325"/>
      <c r="F217" s="104">
        <f t="shared" ref="F217:W217" si="14">F216+F158+F134+F93+F68</f>
        <v>107.72425000000001</v>
      </c>
      <c r="G217" s="105">
        <f t="shared" si="14"/>
        <v>0</v>
      </c>
      <c r="H217" s="105">
        <f t="shared" si="14"/>
        <v>130</v>
      </c>
      <c r="I217" s="105">
        <f t="shared" si="14"/>
        <v>11.65</v>
      </c>
      <c r="J217" s="105">
        <f t="shared" si="14"/>
        <v>141.65</v>
      </c>
      <c r="K217" s="104">
        <f t="shared" si="14"/>
        <v>0</v>
      </c>
      <c r="L217" s="104">
        <f t="shared" si="14"/>
        <v>27.28839</v>
      </c>
      <c r="M217" s="104">
        <f t="shared" si="14"/>
        <v>0</v>
      </c>
      <c r="N217" s="104">
        <f t="shared" si="14"/>
        <v>0</v>
      </c>
      <c r="O217" s="104">
        <f t="shared" si="14"/>
        <v>69.34129999999999</v>
      </c>
      <c r="P217" s="104">
        <f t="shared" si="14"/>
        <v>69.34129999999999</v>
      </c>
      <c r="Q217" s="104">
        <f t="shared" si="14"/>
        <v>0</v>
      </c>
      <c r="R217" s="104">
        <f t="shared" si="14"/>
        <v>62.405799999999999</v>
      </c>
      <c r="S217" s="105">
        <f t="shared" si="14"/>
        <v>0</v>
      </c>
      <c r="T217" s="105">
        <f t="shared" si="14"/>
        <v>6178.9527847999998</v>
      </c>
      <c r="U217" s="104">
        <f t="shared" si="14"/>
        <v>0</v>
      </c>
      <c r="V217" s="104">
        <f t="shared" si="14"/>
        <v>5.0999999999999996</v>
      </c>
      <c r="W217" s="104">
        <f t="shared" si="14"/>
        <v>0</v>
      </c>
      <c r="X217" s="104">
        <f t="shared" si="1"/>
        <v>6592.4625248000002</v>
      </c>
      <c r="Y217" s="266"/>
    </row>
    <row r="218" spans="1:25" ht="24.75" customHeight="1">
      <c r="A218" s="94"/>
      <c r="B218" s="94"/>
      <c r="C218" s="94"/>
      <c r="D218" s="94"/>
      <c r="E218" s="94"/>
      <c r="F218" s="94"/>
      <c r="G218" s="94"/>
      <c r="H218" s="94"/>
      <c r="I218" s="94"/>
      <c r="J218" s="94"/>
      <c r="K218" s="94"/>
      <c r="L218" s="273"/>
      <c r="M218" s="273"/>
      <c r="N218" s="273"/>
      <c r="O218" s="273"/>
      <c r="P218" s="273"/>
      <c r="Q218" s="273"/>
      <c r="R218" s="273"/>
      <c r="S218" s="273"/>
      <c r="T218" s="273"/>
      <c r="U218" s="273"/>
      <c r="V218" s="273"/>
      <c r="W218" s="273"/>
      <c r="X218" s="273"/>
    </row>
    <row r="219" spans="1:25" ht="24.75" customHeight="1">
      <c r="A219" s="94"/>
      <c r="B219" s="94"/>
      <c r="C219" s="94"/>
      <c r="D219" s="94"/>
      <c r="E219" s="94"/>
      <c r="F219" s="94"/>
      <c r="G219" s="94"/>
      <c r="H219" s="94"/>
      <c r="I219" s="94"/>
      <c r="J219" s="94"/>
      <c r="K219" s="94"/>
      <c r="L219" s="273"/>
      <c r="M219" s="273"/>
      <c r="N219" s="273"/>
      <c r="O219" s="273"/>
      <c r="P219" s="273"/>
      <c r="Q219" s="273"/>
      <c r="R219" s="273"/>
      <c r="S219" s="273"/>
      <c r="T219" s="273"/>
      <c r="U219" s="273"/>
      <c r="V219" s="273"/>
      <c r="W219" s="273"/>
      <c r="X219" s="273"/>
    </row>
    <row r="220" spans="1:25" ht="24.75" customHeight="1">
      <c r="A220" s="94"/>
      <c r="B220" s="94"/>
      <c r="C220" s="94"/>
      <c r="D220" s="94"/>
      <c r="E220" s="94"/>
      <c r="F220" s="94"/>
      <c r="G220" s="94"/>
      <c r="H220" s="94"/>
      <c r="I220" s="94"/>
      <c r="J220" s="94"/>
      <c r="K220" s="94"/>
      <c r="L220" s="273"/>
      <c r="M220" s="273"/>
      <c r="N220" s="273"/>
      <c r="O220" s="273"/>
      <c r="P220" s="273"/>
      <c r="Q220" s="273"/>
      <c r="R220" s="273"/>
      <c r="S220" s="273"/>
      <c r="T220" s="273"/>
      <c r="U220" s="273"/>
      <c r="V220" s="273"/>
      <c r="W220" s="273"/>
      <c r="X220" s="273"/>
    </row>
    <row r="221" spans="1:25" ht="24.75" customHeight="1">
      <c r="A221" s="94"/>
      <c r="B221" s="94"/>
      <c r="C221" s="94"/>
      <c r="D221" s="94"/>
      <c r="E221" s="94"/>
      <c r="F221" s="94"/>
      <c r="G221" s="94"/>
      <c r="H221" s="94"/>
      <c r="I221" s="94"/>
      <c r="J221" s="94"/>
      <c r="K221" s="94"/>
      <c r="L221" s="273"/>
      <c r="M221" s="273"/>
      <c r="N221" s="273"/>
      <c r="O221" s="273"/>
      <c r="P221" s="273"/>
      <c r="Q221" s="273"/>
      <c r="R221" s="273"/>
      <c r="S221" s="273"/>
      <c r="T221" s="273"/>
      <c r="U221" s="273"/>
      <c r="V221" s="273"/>
      <c r="W221" s="273"/>
      <c r="X221" s="273"/>
    </row>
    <row r="222" spans="1:25" ht="24.75" customHeight="1">
      <c r="A222" s="94"/>
      <c r="B222" s="94"/>
      <c r="C222" s="94"/>
      <c r="D222" s="94"/>
      <c r="E222" s="94"/>
      <c r="F222" s="94"/>
      <c r="G222" s="94"/>
      <c r="H222" s="94"/>
      <c r="I222" s="94"/>
      <c r="J222" s="94"/>
      <c r="K222" s="94"/>
      <c r="L222" s="273"/>
      <c r="M222" s="273"/>
      <c r="N222" s="273"/>
      <c r="O222" s="273"/>
      <c r="P222" s="273"/>
      <c r="Q222" s="273"/>
      <c r="R222" s="273"/>
      <c r="S222" s="273"/>
      <c r="T222" s="273"/>
      <c r="U222" s="273"/>
      <c r="V222" s="273"/>
      <c r="W222" s="273"/>
      <c r="X222" s="273"/>
    </row>
    <row r="223" spans="1:25" ht="24.75" customHeight="1">
      <c r="A223" s="94"/>
      <c r="B223" s="94"/>
      <c r="C223" s="94"/>
      <c r="D223" s="94"/>
      <c r="E223" s="94"/>
      <c r="F223" s="94"/>
      <c r="G223" s="94"/>
      <c r="H223" s="94"/>
      <c r="I223" s="94"/>
      <c r="J223" s="94"/>
      <c r="K223" s="94"/>
      <c r="L223" s="273"/>
      <c r="M223" s="273"/>
      <c r="N223" s="273"/>
      <c r="O223" s="273"/>
      <c r="P223" s="273"/>
      <c r="Q223" s="273"/>
      <c r="R223" s="273"/>
      <c r="S223" s="273"/>
      <c r="T223" s="273"/>
      <c r="U223" s="273"/>
      <c r="V223" s="273"/>
      <c r="W223" s="273"/>
      <c r="X223" s="273"/>
    </row>
    <row r="224" spans="1:25" ht="24.75" customHeight="1">
      <c r="A224" s="94"/>
      <c r="B224" s="94"/>
      <c r="C224" s="94"/>
      <c r="D224" s="94"/>
      <c r="E224" s="94"/>
      <c r="F224" s="94"/>
      <c r="G224" s="94"/>
      <c r="H224" s="94"/>
      <c r="I224" s="94"/>
      <c r="J224" s="94"/>
      <c r="K224" s="94"/>
      <c r="L224" s="273"/>
      <c r="M224" s="273"/>
      <c r="N224" s="273"/>
      <c r="O224" s="273"/>
      <c r="P224" s="273"/>
      <c r="Q224" s="273"/>
      <c r="R224" s="273"/>
      <c r="S224" s="273"/>
      <c r="T224" s="273"/>
      <c r="U224" s="273"/>
      <c r="V224" s="273"/>
      <c r="W224" s="273"/>
      <c r="X224" s="273"/>
    </row>
    <row r="225" spans="1:24" ht="24.75" customHeight="1">
      <c r="A225" s="94"/>
      <c r="B225" s="94"/>
      <c r="C225" s="94"/>
      <c r="D225" s="94"/>
      <c r="E225" s="94"/>
      <c r="F225" s="94"/>
      <c r="G225" s="94"/>
      <c r="H225" s="94"/>
      <c r="I225" s="94"/>
      <c r="J225" s="94"/>
      <c r="K225" s="94"/>
      <c r="L225" s="273"/>
      <c r="M225" s="273"/>
      <c r="N225" s="273"/>
      <c r="O225" s="273"/>
      <c r="P225" s="273"/>
      <c r="Q225" s="273"/>
      <c r="R225" s="273"/>
      <c r="S225" s="273"/>
      <c r="T225" s="273"/>
      <c r="U225" s="273"/>
      <c r="V225" s="273"/>
      <c r="W225" s="273"/>
      <c r="X225" s="273"/>
    </row>
    <row r="226" spans="1:24" ht="24.75" customHeight="1">
      <c r="A226" s="94"/>
      <c r="B226" s="94"/>
      <c r="C226" s="94"/>
      <c r="D226" s="94"/>
      <c r="E226" s="94"/>
      <c r="F226" s="94"/>
      <c r="G226" s="94"/>
      <c r="H226" s="94"/>
      <c r="I226" s="94"/>
      <c r="J226" s="94"/>
      <c r="K226" s="94"/>
      <c r="L226" s="273"/>
      <c r="M226" s="273"/>
      <c r="N226" s="273"/>
      <c r="O226" s="273"/>
      <c r="P226" s="273"/>
      <c r="Q226" s="273"/>
      <c r="R226" s="273"/>
      <c r="S226" s="273"/>
      <c r="T226" s="273"/>
      <c r="U226" s="273"/>
      <c r="V226" s="273"/>
      <c r="W226" s="273"/>
      <c r="X226" s="273"/>
    </row>
    <row r="227" spans="1:24" ht="24.75" customHeight="1">
      <c r="A227" s="94"/>
      <c r="B227" s="94"/>
      <c r="C227" s="94"/>
      <c r="D227" s="94"/>
      <c r="E227" s="94"/>
      <c r="F227" s="94"/>
      <c r="G227" s="94"/>
      <c r="H227" s="94"/>
      <c r="I227" s="94"/>
      <c r="J227" s="94"/>
      <c r="K227" s="94"/>
      <c r="L227" s="273"/>
      <c r="M227" s="273"/>
      <c r="N227" s="273"/>
      <c r="O227" s="273"/>
      <c r="P227" s="273"/>
      <c r="Q227" s="273"/>
      <c r="R227" s="273"/>
      <c r="S227" s="273"/>
      <c r="T227" s="273"/>
      <c r="U227" s="273"/>
      <c r="V227" s="273"/>
      <c r="W227" s="273"/>
      <c r="X227" s="273"/>
    </row>
    <row r="228" spans="1:24" ht="24.75" customHeight="1">
      <c r="A228" s="94"/>
      <c r="B228" s="94"/>
      <c r="C228" s="94"/>
      <c r="D228" s="94"/>
      <c r="E228" s="94"/>
      <c r="F228" s="94"/>
      <c r="G228" s="94"/>
      <c r="H228" s="94"/>
      <c r="I228" s="94"/>
      <c r="J228" s="94"/>
      <c r="K228" s="94"/>
      <c r="L228" s="273"/>
      <c r="M228" s="273"/>
      <c r="N228" s="273"/>
      <c r="O228" s="273"/>
      <c r="P228" s="273"/>
      <c r="Q228" s="273"/>
      <c r="R228" s="273"/>
      <c r="S228" s="273"/>
      <c r="T228" s="273"/>
      <c r="U228" s="273"/>
      <c r="V228" s="273"/>
      <c r="W228" s="273"/>
      <c r="X228" s="273"/>
    </row>
    <row r="229" spans="1:24" ht="24.75" customHeight="1">
      <c r="A229" s="94"/>
      <c r="B229" s="94"/>
      <c r="C229" s="94"/>
      <c r="D229" s="94"/>
      <c r="E229" s="94"/>
      <c r="F229" s="94"/>
      <c r="G229" s="94"/>
      <c r="H229" s="94"/>
      <c r="I229" s="94"/>
      <c r="J229" s="94"/>
      <c r="K229" s="94"/>
      <c r="L229" s="273"/>
      <c r="M229" s="273"/>
      <c r="N229" s="273"/>
      <c r="O229" s="273"/>
      <c r="P229" s="273"/>
      <c r="Q229" s="273"/>
      <c r="R229" s="273"/>
      <c r="S229" s="273"/>
      <c r="T229" s="273"/>
      <c r="U229" s="273"/>
      <c r="V229" s="273"/>
      <c r="W229" s="273"/>
      <c r="X229" s="273"/>
    </row>
    <row r="230" spans="1:24" ht="24.75" customHeight="1">
      <c r="A230" s="94"/>
      <c r="B230" s="94"/>
      <c r="C230" s="94"/>
      <c r="D230" s="94"/>
      <c r="E230" s="94"/>
      <c r="F230" s="94"/>
      <c r="G230" s="94"/>
      <c r="H230" s="94"/>
      <c r="I230" s="94"/>
      <c r="J230" s="94"/>
      <c r="K230" s="94"/>
      <c r="L230" s="273"/>
      <c r="M230" s="273"/>
      <c r="N230" s="273"/>
      <c r="O230" s="273"/>
      <c r="P230" s="273"/>
      <c r="Q230" s="273"/>
      <c r="R230" s="273"/>
      <c r="S230" s="273"/>
      <c r="T230" s="273"/>
      <c r="U230" s="273"/>
      <c r="V230" s="273"/>
      <c r="W230" s="273"/>
      <c r="X230" s="273"/>
    </row>
    <row r="231" spans="1:24" ht="24.75" customHeight="1">
      <c r="A231" s="94"/>
      <c r="B231" s="94"/>
      <c r="C231" s="94"/>
      <c r="D231" s="94"/>
      <c r="E231" s="94"/>
      <c r="F231" s="94"/>
      <c r="G231" s="94"/>
      <c r="H231" s="94"/>
      <c r="I231" s="94"/>
      <c r="J231" s="94"/>
      <c r="K231" s="94"/>
      <c r="L231" s="273"/>
      <c r="M231" s="273"/>
      <c r="N231" s="273"/>
      <c r="O231" s="273"/>
      <c r="P231" s="273"/>
      <c r="Q231" s="273"/>
      <c r="R231" s="273"/>
      <c r="S231" s="273"/>
      <c r="T231" s="273"/>
      <c r="U231" s="273"/>
      <c r="V231" s="273"/>
      <c r="W231" s="273"/>
      <c r="X231" s="273"/>
    </row>
    <row r="232" spans="1:24" ht="24.75" customHeight="1">
      <c r="A232" s="94"/>
      <c r="B232" s="94"/>
      <c r="C232" s="94"/>
      <c r="D232" s="94"/>
      <c r="E232" s="94"/>
      <c r="F232" s="94"/>
      <c r="G232" s="94"/>
      <c r="H232" s="94"/>
      <c r="I232" s="94"/>
      <c r="J232" s="94"/>
      <c r="K232" s="94"/>
      <c r="L232" s="273"/>
      <c r="M232" s="273"/>
      <c r="N232" s="273"/>
      <c r="O232" s="273"/>
      <c r="P232" s="273"/>
      <c r="Q232" s="273"/>
      <c r="R232" s="273"/>
      <c r="S232" s="273"/>
      <c r="T232" s="273"/>
      <c r="U232" s="273"/>
      <c r="V232" s="273"/>
      <c r="W232" s="273"/>
      <c r="X232" s="273"/>
    </row>
    <row r="233" spans="1:24" ht="24.75" customHeight="1">
      <c r="A233" s="94"/>
      <c r="B233" s="94"/>
      <c r="C233" s="94"/>
      <c r="D233" s="94"/>
      <c r="E233" s="94"/>
      <c r="F233" s="94"/>
      <c r="G233" s="94"/>
      <c r="H233" s="94"/>
      <c r="I233" s="94"/>
      <c r="J233" s="94"/>
      <c r="K233" s="94"/>
      <c r="L233" s="273"/>
      <c r="M233" s="273"/>
      <c r="N233" s="273"/>
      <c r="O233" s="273"/>
      <c r="P233" s="273"/>
      <c r="Q233" s="273"/>
      <c r="R233" s="273"/>
      <c r="S233" s="273"/>
      <c r="T233" s="273"/>
      <c r="U233" s="273"/>
      <c r="V233" s="273"/>
      <c r="W233" s="273"/>
      <c r="X233" s="273"/>
    </row>
    <row r="234" spans="1:24" ht="24.75" customHeight="1">
      <c r="A234" s="94"/>
      <c r="B234" s="94"/>
      <c r="C234" s="94"/>
      <c r="D234" s="94"/>
      <c r="E234" s="94"/>
      <c r="F234" s="94"/>
      <c r="G234" s="94"/>
      <c r="H234" s="94"/>
      <c r="I234" s="94"/>
      <c r="J234" s="94"/>
      <c r="K234" s="94"/>
      <c r="L234" s="273"/>
      <c r="M234" s="273"/>
      <c r="N234" s="273"/>
      <c r="O234" s="273"/>
      <c r="P234" s="273"/>
      <c r="Q234" s="273"/>
      <c r="R234" s="273"/>
      <c r="S234" s="273"/>
      <c r="T234" s="273"/>
      <c r="U234" s="273"/>
      <c r="V234" s="273"/>
      <c r="W234" s="273"/>
      <c r="X234" s="273"/>
    </row>
    <row r="235" spans="1:24" ht="24.75" customHeight="1">
      <c r="A235" s="94"/>
      <c r="B235" s="94"/>
      <c r="C235" s="94"/>
      <c r="D235" s="94"/>
      <c r="E235" s="94"/>
      <c r="F235" s="94"/>
      <c r="G235" s="94"/>
      <c r="H235" s="94"/>
      <c r="I235" s="94"/>
      <c r="J235" s="94"/>
      <c r="K235" s="94"/>
      <c r="L235" s="273"/>
      <c r="M235" s="273"/>
      <c r="N235" s="273"/>
      <c r="O235" s="273"/>
      <c r="P235" s="273"/>
      <c r="Q235" s="273"/>
      <c r="R235" s="273"/>
      <c r="S235" s="273"/>
      <c r="T235" s="273"/>
      <c r="U235" s="273"/>
      <c r="V235" s="273"/>
      <c r="W235" s="273"/>
      <c r="X235" s="273"/>
    </row>
    <row r="236" spans="1:24" ht="24.75" customHeight="1">
      <c r="A236" s="94"/>
      <c r="B236" s="94"/>
      <c r="C236" s="94"/>
      <c r="D236" s="94"/>
      <c r="E236" s="94"/>
      <c r="F236" s="94"/>
      <c r="G236" s="94"/>
      <c r="H236" s="94"/>
      <c r="I236" s="94"/>
      <c r="J236" s="94"/>
      <c r="K236" s="94"/>
      <c r="L236" s="273"/>
      <c r="M236" s="273"/>
      <c r="N236" s="273"/>
      <c r="O236" s="273"/>
      <c r="P236" s="273"/>
      <c r="Q236" s="273"/>
      <c r="R236" s="273"/>
      <c r="S236" s="273"/>
      <c r="T236" s="273"/>
      <c r="U236" s="273"/>
      <c r="V236" s="273"/>
      <c r="W236" s="273"/>
      <c r="X236" s="273"/>
    </row>
    <row r="237" spans="1:24" ht="24.75" customHeight="1">
      <c r="A237" s="94"/>
      <c r="B237" s="94"/>
      <c r="C237" s="94"/>
      <c r="D237" s="94"/>
      <c r="E237" s="94"/>
      <c r="F237" s="94"/>
      <c r="G237" s="94"/>
      <c r="H237" s="94"/>
      <c r="I237" s="94"/>
      <c r="J237" s="94"/>
      <c r="K237" s="94"/>
      <c r="L237" s="273"/>
      <c r="M237" s="273"/>
      <c r="N237" s="273"/>
      <c r="O237" s="273"/>
      <c r="P237" s="273"/>
      <c r="Q237" s="273"/>
      <c r="R237" s="273"/>
      <c r="S237" s="273"/>
      <c r="T237" s="273"/>
      <c r="U237" s="273"/>
      <c r="V237" s="273"/>
      <c r="W237" s="273"/>
      <c r="X237" s="273"/>
    </row>
    <row r="238" spans="1:24" ht="24.75" customHeight="1">
      <c r="A238" s="94"/>
      <c r="B238" s="94"/>
      <c r="C238" s="94"/>
      <c r="D238" s="94"/>
      <c r="E238" s="94"/>
      <c r="F238" s="94"/>
      <c r="G238" s="94"/>
      <c r="H238" s="94"/>
      <c r="I238" s="94"/>
      <c r="J238" s="94"/>
      <c r="K238" s="94"/>
      <c r="L238" s="273"/>
      <c r="M238" s="273"/>
      <c r="N238" s="273"/>
      <c r="O238" s="273"/>
      <c r="P238" s="273"/>
      <c r="Q238" s="273"/>
      <c r="R238" s="273"/>
      <c r="S238" s="273"/>
      <c r="T238" s="273"/>
      <c r="U238" s="273"/>
      <c r="V238" s="273"/>
      <c r="W238" s="273"/>
      <c r="X238" s="273"/>
    </row>
    <row r="239" spans="1:24" ht="24.75" customHeight="1">
      <c r="A239" s="94"/>
      <c r="B239" s="94"/>
      <c r="C239" s="94"/>
      <c r="D239" s="94"/>
      <c r="E239" s="94"/>
      <c r="F239" s="94"/>
      <c r="G239" s="94"/>
      <c r="H239" s="94"/>
      <c r="I239" s="94"/>
      <c r="J239" s="94"/>
      <c r="K239" s="94"/>
      <c r="L239" s="273"/>
      <c r="M239" s="273"/>
      <c r="N239" s="273"/>
      <c r="O239" s="273"/>
      <c r="P239" s="273"/>
      <c r="Q239" s="273"/>
      <c r="R239" s="273"/>
      <c r="S239" s="273"/>
      <c r="T239" s="273"/>
      <c r="U239" s="273"/>
      <c r="V239" s="273"/>
      <c r="W239" s="273"/>
      <c r="X239" s="273"/>
    </row>
    <row r="240" spans="1:24" ht="24.75" customHeight="1">
      <c r="A240" s="94"/>
      <c r="B240" s="94"/>
      <c r="C240" s="94"/>
      <c r="D240" s="94"/>
      <c r="E240" s="94"/>
      <c r="F240" s="94"/>
      <c r="G240" s="94"/>
      <c r="H240" s="94"/>
      <c r="I240" s="94"/>
      <c r="J240" s="94"/>
      <c r="K240" s="94"/>
      <c r="L240" s="273"/>
      <c r="M240" s="273"/>
      <c r="N240" s="273"/>
      <c r="O240" s="273"/>
      <c r="P240" s="273"/>
      <c r="Q240" s="273"/>
      <c r="R240" s="273"/>
      <c r="S240" s="273"/>
      <c r="T240" s="273"/>
      <c r="U240" s="273"/>
      <c r="V240" s="273"/>
      <c r="W240" s="273"/>
      <c r="X240" s="273"/>
    </row>
    <row r="241" spans="1:24" ht="24.75" customHeight="1">
      <c r="A241" s="94"/>
      <c r="B241" s="94"/>
      <c r="C241" s="94"/>
      <c r="D241" s="94"/>
      <c r="E241" s="94"/>
      <c r="F241" s="94"/>
      <c r="G241" s="94"/>
      <c r="H241" s="94"/>
      <c r="I241" s="94"/>
      <c r="J241" s="94"/>
      <c r="K241" s="94"/>
      <c r="L241" s="273"/>
      <c r="M241" s="273"/>
      <c r="N241" s="273"/>
      <c r="O241" s="273"/>
      <c r="P241" s="273"/>
      <c r="Q241" s="273"/>
      <c r="R241" s="273"/>
      <c r="S241" s="273"/>
      <c r="T241" s="273"/>
      <c r="U241" s="273"/>
      <c r="V241" s="273"/>
      <c r="W241" s="273"/>
      <c r="X241" s="273"/>
    </row>
    <row r="242" spans="1:24" ht="24.75" customHeight="1">
      <c r="A242" s="94"/>
      <c r="B242" s="94"/>
      <c r="C242" s="94"/>
      <c r="D242" s="94"/>
      <c r="E242" s="94"/>
      <c r="F242" s="94"/>
      <c r="G242" s="94"/>
      <c r="H242" s="94"/>
      <c r="I242" s="94"/>
      <c r="J242" s="94"/>
      <c r="K242" s="94"/>
      <c r="L242" s="273"/>
      <c r="M242" s="273"/>
      <c r="N242" s="273"/>
      <c r="O242" s="273"/>
      <c r="P242" s="273"/>
      <c r="Q242" s="273"/>
      <c r="R242" s="273"/>
      <c r="S242" s="273"/>
      <c r="T242" s="273"/>
      <c r="U242" s="273"/>
      <c r="V242" s="273"/>
      <c r="W242" s="273"/>
      <c r="X242" s="273"/>
    </row>
    <row r="243" spans="1:24" ht="24.75" customHeight="1">
      <c r="A243" s="94"/>
      <c r="B243" s="94"/>
      <c r="C243" s="94"/>
      <c r="D243" s="94"/>
      <c r="E243" s="94"/>
      <c r="F243" s="94"/>
      <c r="G243" s="94"/>
      <c r="H243" s="94"/>
      <c r="I243" s="94"/>
      <c r="J243" s="94"/>
      <c r="K243" s="94"/>
      <c r="L243" s="273"/>
      <c r="M243" s="273"/>
      <c r="N243" s="273"/>
      <c r="O243" s="273"/>
      <c r="P243" s="273"/>
      <c r="Q243" s="273"/>
      <c r="R243" s="273"/>
      <c r="S243" s="273"/>
      <c r="T243" s="273"/>
      <c r="U243" s="273"/>
      <c r="V243" s="273"/>
      <c r="W243" s="273"/>
      <c r="X243" s="273"/>
    </row>
    <row r="244" spans="1:24" ht="24.75" customHeight="1">
      <c r="A244" s="94"/>
      <c r="B244" s="94"/>
      <c r="C244" s="94"/>
      <c r="D244" s="94"/>
      <c r="E244" s="94"/>
      <c r="F244" s="94"/>
      <c r="G244" s="94"/>
      <c r="H244" s="94"/>
      <c r="I244" s="94"/>
      <c r="J244" s="94"/>
      <c r="K244" s="94"/>
      <c r="L244" s="273"/>
      <c r="M244" s="273"/>
      <c r="N244" s="273"/>
      <c r="O244" s="273"/>
      <c r="P244" s="273"/>
      <c r="Q244" s="273"/>
      <c r="R244" s="273"/>
      <c r="S244" s="273"/>
      <c r="T244" s="273"/>
      <c r="U244" s="273"/>
      <c r="V244" s="273"/>
      <c r="W244" s="273"/>
      <c r="X244" s="273"/>
    </row>
    <row r="245" spans="1:24" ht="24.75" customHeight="1">
      <c r="A245" s="94"/>
      <c r="B245" s="94"/>
      <c r="C245" s="94"/>
      <c r="D245" s="94"/>
      <c r="E245" s="94"/>
      <c r="F245" s="94"/>
      <c r="G245" s="94"/>
      <c r="H245" s="94"/>
      <c r="I245" s="94"/>
      <c r="J245" s="94"/>
      <c r="K245" s="94"/>
      <c r="L245" s="273"/>
      <c r="M245" s="273"/>
      <c r="N245" s="273"/>
      <c r="O245" s="273"/>
      <c r="P245" s="273"/>
      <c r="Q245" s="273"/>
      <c r="R245" s="273"/>
      <c r="S245" s="273"/>
      <c r="T245" s="273"/>
      <c r="U245" s="273"/>
      <c r="V245" s="273"/>
      <c r="W245" s="273"/>
      <c r="X245" s="273"/>
    </row>
    <row r="246" spans="1:24" ht="24.75" customHeight="1">
      <c r="A246" s="94"/>
      <c r="B246" s="94"/>
      <c r="C246" s="94"/>
      <c r="D246" s="94"/>
      <c r="E246" s="94"/>
      <c r="F246" s="94"/>
      <c r="G246" s="94"/>
      <c r="H246" s="94"/>
      <c r="I246" s="94"/>
      <c r="J246" s="94"/>
      <c r="K246" s="94"/>
      <c r="L246" s="273"/>
      <c r="M246" s="273"/>
      <c r="N246" s="273"/>
      <c r="O246" s="273"/>
      <c r="P246" s="273"/>
      <c r="Q246" s="273"/>
      <c r="R246" s="273"/>
      <c r="S246" s="273"/>
      <c r="T246" s="273"/>
      <c r="U246" s="273"/>
      <c r="V246" s="273"/>
      <c r="W246" s="273"/>
      <c r="X246" s="273"/>
    </row>
    <row r="247" spans="1:24" ht="24.75" customHeight="1">
      <c r="A247" s="94"/>
      <c r="B247" s="94"/>
      <c r="C247" s="94"/>
      <c r="D247" s="94"/>
      <c r="E247" s="94"/>
      <c r="F247" s="94"/>
      <c r="G247" s="94"/>
      <c r="H247" s="94"/>
      <c r="I247" s="94"/>
      <c r="J247" s="94"/>
      <c r="K247" s="94"/>
      <c r="L247" s="273"/>
      <c r="M247" s="273"/>
      <c r="N247" s="273"/>
      <c r="O247" s="273"/>
      <c r="P247" s="273"/>
      <c r="Q247" s="273"/>
      <c r="R247" s="273"/>
      <c r="S247" s="273"/>
      <c r="T247" s="273"/>
      <c r="U247" s="273"/>
      <c r="V247" s="273"/>
      <c r="W247" s="273"/>
      <c r="X247" s="273"/>
    </row>
    <row r="248" spans="1:24" ht="24.75" customHeight="1">
      <c r="A248" s="94"/>
      <c r="B248" s="94"/>
      <c r="C248" s="94"/>
      <c r="D248" s="94"/>
      <c r="E248" s="94"/>
      <c r="F248" s="94"/>
      <c r="G248" s="94"/>
      <c r="H248" s="94"/>
      <c r="I248" s="94"/>
      <c r="J248" s="94"/>
      <c r="K248" s="94"/>
      <c r="L248" s="273"/>
      <c r="M248" s="273"/>
      <c r="N248" s="273"/>
      <c r="O248" s="273"/>
      <c r="P248" s="273"/>
      <c r="Q248" s="273"/>
      <c r="R248" s="273"/>
      <c r="S248" s="273"/>
      <c r="T248" s="273"/>
      <c r="U248" s="273"/>
      <c r="V248" s="273"/>
      <c r="W248" s="273"/>
      <c r="X248" s="273"/>
    </row>
    <row r="249" spans="1:24" ht="24.75" customHeight="1">
      <c r="A249" s="94"/>
      <c r="B249" s="94"/>
      <c r="C249" s="94"/>
      <c r="D249" s="94"/>
      <c r="E249" s="94"/>
      <c r="F249" s="94"/>
      <c r="G249" s="94"/>
      <c r="H249" s="94"/>
      <c r="I249" s="94"/>
      <c r="J249" s="94"/>
      <c r="K249" s="94"/>
      <c r="L249" s="273"/>
      <c r="M249" s="273"/>
      <c r="N249" s="273"/>
      <c r="O249" s="273"/>
      <c r="P249" s="273"/>
      <c r="Q249" s="273"/>
      <c r="R249" s="273"/>
      <c r="S249" s="273"/>
      <c r="T249" s="273"/>
      <c r="U249" s="273"/>
      <c r="V249" s="273"/>
      <c r="W249" s="273"/>
      <c r="X249" s="273"/>
    </row>
    <row r="250" spans="1:24" ht="24.75" customHeight="1">
      <c r="A250" s="94"/>
      <c r="B250" s="94"/>
      <c r="C250" s="94"/>
      <c r="D250" s="94"/>
      <c r="E250" s="94"/>
      <c r="F250" s="94"/>
      <c r="G250" s="94"/>
      <c r="H250" s="94"/>
      <c r="I250" s="94"/>
      <c r="J250" s="94"/>
      <c r="K250" s="94"/>
      <c r="L250" s="273"/>
      <c r="M250" s="273"/>
      <c r="N250" s="273"/>
      <c r="O250" s="273"/>
      <c r="P250" s="273"/>
      <c r="Q250" s="273"/>
      <c r="R250" s="273"/>
      <c r="S250" s="273"/>
      <c r="T250" s="273"/>
      <c r="U250" s="273"/>
      <c r="V250" s="273"/>
      <c r="W250" s="273"/>
      <c r="X250" s="273"/>
    </row>
    <row r="251" spans="1:24" ht="24.75" customHeight="1">
      <c r="A251" s="94"/>
      <c r="B251" s="94"/>
      <c r="C251" s="94"/>
      <c r="D251" s="94"/>
      <c r="E251" s="94"/>
      <c r="F251" s="94"/>
      <c r="G251" s="94"/>
      <c r="H251" s="94"/>
      <c r="I251" s="94"/>
      <c r="J251" s="94"/>
      <c r="K251" s="94"/>
      <c r="L251" s="273"/>
      <c r="M251" s="273"/>
      <c r="N251" s="273"/>
      <c r="O251" s="273"/>
      <c r="P251" s="273"/>
      <c r="Q251" s="273"/>
      <c r="R251" s="273"/>
      <c r="S251" s="273"/>
      <c r="T251" s="273"/>
      <c r="U251" s="273"/>
      <c r="V251" s="273"/>
      <c r="W251" s="273"/>
      <c r="X251" s="273"/>
    </row>
    <row r="252" spans="1:24" ht="24.75" customHeight="1">
      <c r="A252" s="94"/>
      <c r="B252" s="94"/>
      <c r="C252" s="94"/>
      <c r="D252" s="94"/>
      <c r="E252" s="94"/>
      <c r="F252" s="94"/>
      <c r="G252" s="94"/>
      <c r="H252" s="94"/>
      <c r="I252" s="94"/>
      <c r="J252" s="94"/>
      <c r="K252" s="94"/>
      <c r="L252" s="273"/>
      <c r="M252" s="273"/>
      <c r="N252" s="273"/>
      <c r="O252" s="273"/>
      <c r="P252" s="273"/>
      <c r="Q252" s="273"/>
      <c r="R252" s="273"/>
      <c r="S252" s="273"/>
      <c r="T252" s="273"/>
      <c r="U252" s="273"/>
      <c r="V252" s="273"/>
      <c r="W252" s="273"/>
      <c r="X252" s="273"/>
    </row>
    <row r="253" spans="1:24" ht="24.75" customHeight="1">
      <c r="A253" s="94"/>
      <c r="B253" s="94"/>
      <c r="C253" s="94"/>
      <c r="D253" s="94"/>
      <c r="E253" s="94"/>
      <c r="F253" s="94"/>
      <c r="G253" s="94"/>
      <c r="H253" s="94"/>
      <c r="I253" s="94"/>
      <c r="J253" s="94"/>
      <c r="K253" s="94"/>
      <c r="L253" s="273"/>
      <c r="M253" s="273"/>
      <c r="N253" s="273"/>
      <c r="O253" s="273"/>
      <c r="P253" s="273"/>
      <c r="Q253" s="273"/>
      <c r="R253" s="273"/>
      <c r="S253" s="273"/>
      <c r="T253" s="273"/>
      <c r="U253" s="273"/>
      <c r="V253" s="273"/>
      <c r="W253" s="273"/>
      <c r="X253" s="273"/>
    </row>
    <row r="254" spans="1:24" ht="24.75" customHeight="1">
      <c r="A254" s="94"/>
      <c r="B254" s="94"/>
      <c r="C254" s="94"/>
      <c r="D254" s="94"/>
      <c r="E254" s="94"/>
      <c r="F254" s="94"/>
      <c r="G254" s="94"/>
      <c r="H254" s="94"/>
      <c r="I254" s="94"/>
      <c r="J254" s="94"/>
      <c r="K254" s="94"/>
      <c r="L254" s="273"/>
      <c r="M254" s="273"/>
      <c r="N254" s="273"/>
      <c r="O254" s="273"/>
      <c r="P254" s="273"/>
      <c r="Q254" s="273"/>
      <c r="R254" s="273"/>
      <c r="S254" s="273"/>
      <c r="T254" s="273"/>
      <c r="U254" s="273"/>
      <c r="V254" s="273"/>
      <c r="W254" s="273"/>
      <c r="X254" s="273"/>
    </row>
    <row r="255" spans="1:24" ht="24.75" customHeight="1">
      <c r="A255" s="94"/>
      <c r="B255" s="94"/>
      <c r="C255" s="94"/>
      <c r="D255" s="94"/>
      <c r="E255" s="94"/>
      <c r="F255" s="94"/>
      <c r="G255" s="94"/>
      <c r="H255" s="94"/>
      <c r="I255" s="94"/>
      <c r="J255" s="94"/>
      <c r="K255" s="94"/>
      <c r="L255" s="273"/>
      <c r="M255" s="273"/>
      <c r="N255" s="273"/>
      <c r="O255" s="273"/>
      <c r="P255" s="273"/>
      <c r="Q255" s="273"/>
      <c r="R255" s="273"/>
      <c r="S255" s="273"/>
      <c r="T255" s="273"/>
      <c r="U255" s="273"/>
      <c r="V255" s="273"/>
      <c r="W255" s="273"/>
      <c r="X255" s="273"/>
    </row>
    <row r="256" spans="1:24" ht="24.75" customHeight="1">
      <c r="A256" s="94"/>
      <c r="B256" s="94"/>
      <c r="C256" s="94"/>
      <c r="D256" s="94"/>
      <c r="E256" s="94"/>
      <c r="F256" s="94"/>
      <c r="G256" s="94"/>
      <c r="H256" s="94"/>
      <c r="I256" s="94"/>
      <c r="J256" s="94"/>
      <c r="K256" s="94"/>
      <c r="L256" s="273"/>
      <c r="M256" s="273"/>
      <c r="N256" s="273"/>
      <c r="O256" s="273"/>
      <c r="P256" s="273"/>
      <c r="Q256" s="273"/>
      <c r="R256" s="273"/>
      <c r="S256" s="273"/>
      <c r="T256" s="273"/>
      <c r="U256" s="273"/>
      <c r="V256" s="273"/>
      <c r="W256" s="273"/>
      <c r="X256" s="273"/>
    </row>
    <row r="257" spans="1:24" ht="24.75" customHeight="1">
      <c r="A257" s="94"/>
      <c r="B257" s="94"/>
      <c r="C257" s="94"/>
      <c r="D257" s="94"/>
      <c r="E257" s="94"/>
      <c r="F257" s="94"/>
      <c r="G257" s="94"/>
      <c r="H257" s="94"/>
      <c r="I257" s="94"/>
      <c r="J257" s="94"/>
      <c r="K257" s="94"/>
      <c r="L257" s="273"/>
      <c r="M257" s="273"/>
      <c r="N257" s="273"/>
      <c r="O257" s="273"/>
      <c r="P257" s="273"/>
      <c r="Q257" s="273"/>
      <c r="R257" s="273"/>
      <c r="S257" s="273"/>
      <c r="T257" s="273"/>
      <c r="U257" s="273"/>
      <c r="V257" s="273"/>
      <c r="W257" s="273"/>
      <c r="X257" s="273"/>
    </row>
    <row r="258" spans="1:24" ht="24.75" customHeight="1">
      <c r="A258" s="94"/>
      <c r="B258" s="94"/>
      <c r="C258" s="94"/>
      <c r="D258" s="94"/>
      <c r="E258" s="94"/>
      <c r="F258" s="94"/>
      <c r="G258" s="94"/>
      <c r="H258" s="94"/>
      <c r="I258" s="94"/>
      <c r="J258" s="94"/>
      <c r="K258" s="94"/>
      <c r="L258" s="273"/>
      <c r="M258" s="273"/>
      <c r="N258" s="273"/>
      <c r="O258" s="273"/>
      <c r="P258" s="273"/>
      <c r="Q258" s="273"/>
      <c r="R258" s="273"/>
      <c r="S258" s="273"/>
      <c r="T258" s="273"/>
      <c r="U258" s="273"/>
      <c r="V258" s="273"/>
      <c r="W258" s="273"/>
      <c r="X258" s="273"/>
    </row>
    <row r="259" spans="1:24" ht="24.75" customHeight="1">
      <c r="A259" s="94"/>
      <c r="B259" s="94"/>
      <c r="C259" s="94"/>
      <c r="D259" s="94"/>
      <c r="E259" s="94"/>
      <c r="F259" s="94"/>
      <c r="G259" s="94"/>
      <c r="H259" s="94"/>
      <c r="I259" s="94"/>
      <c r="J259" s="94"/>
      <c r="K259" s="94"/>
      <c r="L259" s="273"/>
      <c r="M259" s="273"/>
      <c r="N259" s="273"/>
      <c r="O259" s="273"/>
      <c r="P259" s="273"/>
      <c r="Q259" s="273"/>
      <c r="R259" s="273"/>
      <c r="S259" s="273"/>
      <c r="T259" s="273"/>
      <c r="U259" s="273"/>
      <c r="V259" s="273"/>
      <c r="W259" s="273"/>
      <c r="X259" s="273"/>
    </row>
    <row r="260" spans="1:24" ht="24.75" customHeight="1">
      <c r="A260" s="94"/>
      <c r="B260" s="94"/>
      <c r="C260" s="94"/>
      <c r="D260" s="94"/>
      <c r="E260" s="94"/>
      <c r="F260" s="94"/>
      <c r="G260" s="94"/>
      <c r="H260" s="94"/>
      <c r="I260" s="94"/>
      <c r="J260" s="94"/>
      <c r="K260" s="94"/>
      <c r="L260" s="273"/>
      <c r="M260" s="273"/>
      <c r="N260" s="273"/>
      <c r="O260" s="273"/>
      <c r="P260" s="273"/>
      <c r="Q260" s="273"/>
      <c r="R260" s="273"/>
      <c r="S260" s="273"/>
      <c r="T260" s="273"/>
      <c r="U260" s="273"/>
      <c r="V260" s="273"/>
      <c r="W260" s="273"/>
      <c r="X260" s="273"/>
    </row>
    <row r="261" spans="1:24" ht="24.75" customHeight="1">
      <c r="A261" s="94"/>
      <c r="B261" s="94"/>
      <c r="C261" s="94"/>
      <c r="D261" s="94"/>
      <c r="E261" s="94"/>
      <c r="F261" s="94"/>
      <c r="G261" s="94"/>
      <c r="H261" s="94"/>
      <c r="I261" s="94"/>
      <c r="J261" s="94"/>
      <c r="K261" s="94"/>
      <c r="L261" s="273"/>
      <c r="M261" s="273"/>
      <c r="N261" s="273"/>
      <c r="O261" s="273"/>
      <c r="P261" s="273"/>
      <c r="Q261" s="273"/>
      <c r="R261" s="273"/>
      <c r="S261" s="273"/>
      <c r="T261" s="273"/>
      <c r="U261" s="273"/>
      <c r="V261" s="273"/>
      <c r="W261" s="273"/>
      <c r="X261" s="273"/>
    </row>
    <row r="262" spans="1:24" ht="24.75" customHeight="1">
      <c r="A262" s="94"/>
      <c r="B262" s="94"/>
      <c r="C262" s="94"/>
      <c r="D262" s="94"/>
      <c r="E262" s="94"/>
      <c r="F262" s="94"/>
      <c r="G262" s="94"/>
      <c r="H262" s="94"/>
      <c r="I262" s="94"/>
      <c r="J262" s="94"/>
      <c r="K262" s="94"/>
      <c r="L262" s="273"/>
      <c r="M262" s="273"/>
      <c r="N262" s="273"/>
      <c r="O262" s="273"/>
      <c r="P262" s="273"/>
      <c r="Q262" s="273"/>
      <c r="R262" s="273"/>
      <c r="S262" s="273"/>
      <c r="T262" s="273"/>
      <c r="U262" s="273"/>
      <c r="V262" s="273"/>
      <c r="W262" s="273"/>
      <c r="X262" s="273"/>
    </row>
    <row r="263" spans="1:24" ht="24.75" customHeight="1">
      <c r="A263" s="94"/>
      <c r="B263" s="94"/>
      <c r="C263" s="94"/>
      <c r="D263" s="94"/>
      <c r="E263" s="94"/>
      <c r="F263" s="94"/>
      <c r="G263" s="94"/>
      <c r="H263" s="94"/>
      <c r="I263" s="94"/>
      <c r="J263" s="94"/>
      <c r="K263" s="94"/>
      <c r="L263" s="273"/>
      <c r="M263" s="273"/>
      <c r="N263" s="273"/>
      <c r="O263" s="273"/>
      <c r="P263" s="273"/>
      <c r="Q263" s="273"/>
      <c r="R263" s="273"/>
      <c r="S263" s="273"/>
      <c r="T263" s="273"/>
      <c r="U263" s="273"/>
      <c r="V263" s="273"/>
      <c r="W263" s="273"/>
      <c r="X263" s="273"/>
    </row>
    <row r="264" spans="1:24" ht="24.75" customHeight="1">
      <c r="A264" s="94"/>
      <c r="B264" s="94"/>
      <c r="C264" s="94"/>
      <c r="D264" s="94"/>
      <c r="E264" s="94"/>
      <c r="F264" s="94"/>
      <c r="G264" s="94"/>
      <c r="H264" s="94"/>
      <c r="I264" s="94"/>
      <c r="J264" s="94"/>
      <c r="K264" s="94"/>
      <c r="L264" s="273"/>
      <c r="M264" s="273"/>
      <c r="N264" s="273"/>
      <c r="O264" s="273"/>
      <c r="P264" s="273"/>
      <c r="Q264" s="273"/>
      <c r="R264" s="273"/>
      <c r="S264" s="273"/>
      <c r="T264" s="273"/>
      <c r="U264" s="273"/>
      <c r="V264" s="273"/>
      <c r="W264" s="273"/>
      <c r="X264" s="273"/>
    </row>
    <row r="265" spans="1:24" ht="24.75" customHeight="1">
      <c r="A265" s="94"/>
      <c r="B265" s="94"/>
      <c r="C265" s="94"/>
      <c r="D265" s="94"/>
      <c r="E265" s="94"/>
      <c r="F265" s="94"/>
      <c r="G265" s="94"/>
      <c r="H265" s="94"/>
      <c r="I265" s="94"/>
      <c r="J265" s="94"/>
      <c r="K265" s="94"/>
      <c r="L265" s="273"/>
      <c r="M265" s="273"/>
      <c r="N265" s="273"/>
      <c r="O265" s="273"/>
      <c r="P265" s="273"/>
      <c r="Q265" s="273"/>
      <c r="R265" s="273"/>
      <c r="S265" s="273"/>
      <c r="T265" s="273"/>
      <c r="U265" s="273"/>
      <c r="V265" s="273"/>
      <c r="W265" s="273"/>
      <c r="X265" s="273"/>
    </row>
    <row r="266" spans="1:24" ht="24.75" customHeight="1">
      <c r="A266" s="94"/>
      <c r="B266" s="94"/>
      <c r="C266" s="94"/>
      <c r="D266" s="94"/>
      <c r="E266" s="94"/>
      <c r="F266" s="94"/>
      <c r="G266" s="94"/>
      <c r="H266" s="94"/>
      <c r="I266" s="94"/>
      <c r="J266" s="94"/>
      <c r="K266" s="94"/>
      <c r="L266" s="273"/>
      <c r="M266" s="273"/>
      <c r="N266" s="273"/>
      <c r="O266" s="273"/>
      <c r="P266" s="273"/>
      <c r="Q266" s="273"/>
      <c r="R266" s="273"/>
      <c r="S266" s="273"/>
      <c r="T266" s="273"/>
      <c r="U266" s="273"/>
      <c r="V266" s="273"/>
      <c r="W266" s="273"/>
      <c r="X266" s="273"/>
    </row>
    <row r="267" spans="1:24" ht="24.75" customHeight="1">
      <c r="A267" s="94"/>
      <c r="B267" s="94"/>
      <c r="C267" s="94"/>
      <c r="D267" s="94"/>
      <c r="E267" s="94"/>
      <c r="F267" s="94"/>
      <c r="G267" s="94"/>
      <c r="H267" s="94"/>
      <c r="I267" s="94"/>
      <c r="J267" s="94"/>
      <c r="K267" s="94"/>
      <c r="L267" s="273"/>
      <c r="M267" s="273"/>
      <c r="N267" s="273"/>
      <c r="O267" s="273"/>
      <c r="P267" s="273"/>
      <c r="Q267" s="273"/>
      <c r="R267" s="273"/>
      <c r="S267" s="273"/>
      <c r="T267" s="273"/>
      <c r="U267" s="273"/>
      <c r="V267" s="273"/>
      <c r="W267" s="273"/>
      <c r="X267" s="273"/>
    </row>
    <row r="268" spans="1:24" ht="24.75" customHeight="1">
      <c r="A268" s="94"/>
      <c r="B268" s="94"/>
      <c r="C268" s="94"/>
      <c r="D268" s="94"/>
      <c r="E268" s="94"/>
      <c r="F268" s="94"/>
      <c r="G268" s="94"/>
      <c r="H268" s="94"/>
      <c r="I268" s="94"/>
      <c r="J268" s="94"/>
      <c r="K268" s="94"/>
      <c r="L268" s="273"/>
      <c r="M268" s="273"/>
      <c r="N268" s="273"/>
      <c r="O268" s="273"/>
      <c r="P268" s="273"/>
      <c r="Q268" s="273"/>
      <c r="R268" s="273"/>
      <c r="S268" s="273"/>
      <c r="T268" s="273"/>
      <c r="U268" s="273"/>
      <c r="V268" s="273"/>
      <c r="W268" s="273"/>
      <c r="X268" s="273"/>
    </row>
    <row r="269" spans="1:24" ht="24.75" customHeight="1">
      <c r="A269" s="94"/>
      <c r="B269" s="94"/>
      <c r="C269" s="94"/>
      <c r="D269" s="94"/>
      <c r="E269" s="94"/>
      <c r="F269" s="94"/>
      <c r="G269" s="94"/>
      <c r="H269" s="94"/>
      <c r="I269" s="94"/>
      <c r="J269" s="94"/>
      <c r="K269" s="94"/>
      <c r="L269" s="273"/>
      <c r="M269" s="273"/>
      <c r="N269" s="273"/>
      <c r="O269" s="273"/>
      <c r="P269" s="273"/>
      <c r="Q269" s="273"/>
      <c r="R269" s="273"/>
      <c r="S269" s="273"/>
      <c r="T269" s="273"/>
      <c r="U269" s="273"/>
      <c r="V269" s="273"/>
      <c r="W269" s="273"/>
      <c r="X269" s="273"/>
    </row>
    <row r="270" spans="1:24" ht="24.75" customHeight="1">
      <c r="A270" s="94"/>
      <c r="B270" s="94"/>
      <c r="C270" s="94"/>
      <c r="D270" s="94"/>
      <c r="E270" s="94"/>
      <c r="F270" s="94"/>
      <c r="G270" s="94"/>
      <c r="H270" s="94"/>
      <c r="I270" s="94"/>
      <c r="J270" s="94"/>
      <c r="K270" s="94"/>
      <c r="L270" s="273"/>
      <c r="M270" s="273"/>
      <c r="N270" s="273"/>
      <c r="O270" s="273"/>
      <c r="P270" s="273"/>
      <c r="Q270" s="273"/>
      <c r="R270" s="273"/>
      <c r="S270" s="273"/>
      <c r="T270" s="273"/>
      <c r="U270" s="273"/>
      <c r="V270" s="273"/>
      <c r="W270" s="273"/>
      <c r="X270" s="273"/>
    </row>
    <row r="271" spans="1:24" ht="24.75" customHeight="1">
      <c r="A271" s="94"/>
      <c r="B271" s="94"/>
      <c r="C271" s="94"/>
      <c r="D271" s="94"/>
      <c r="E271" s="94"/>
      <c r="F271" s="94"/>
      <c r="G271" s="94"/>
      <c r="H271" s="94"/>
      <c r="I271" s="94"/>
      <c r="J271" s="94"/>
      <c r="K271" s="94"/>
      <c r="L271" s="273"/>
      <c r="M271" s="273"/>
      <c r="N271" s="273"/>
      <c r="O271" s="273"/>
      <c r="P271" s="273"/>
      <c r="Q271" s="273"/>
      <c r="R271" s="273"/>
      <c r="S271" s="273"/>
      <c r="T271" s="273"/>
      <c r="U271" s="273"/>
      <c r="V271" s="273"/>
      <c r="W271" s="273"/>
      <c r="X271" s="273"/>
    </row>
    <row r="272" spans="1:24" ht="24.75" customHeight="1">
      <c r="A272" s="94"/>
      <c r="B272" s="94"/>
      <c r="C272" s="94"/>
      <c r="D272" s="94"/>
      <c r="E272" s="94"/>
      <c r="F272" s="94"/>
      <c r="G272" s="94"/>
      <c r="H272" s="94"/>
      <c r="I272" s="94"/>
      <c r="J272" s="94"/>
      <c r="K272" s="94"/>
      <c r="L272" s="273"/>
      <c r="M272" s="273"/>
      <c r="N272" s="273"/>
      <c r="O272" s="273"/>
      <c r="P272" s="273"/>
      <c r="Q272" s="273"/>
      <c r="R272" s="273"/>
      <c r="S272" s="273"/>
      <c r="T272" s="273"/>
      <c r="U272" s="273"/>
      <c r="V272" s="273"/>
      <c r="W272" s="273"/>
      <c r="X272" s="273"/>
    </row>
    <row r="273" spans="1:24" ht="24.75" customHeight="1">
      <c r="A273" s="94"/>
      <c r="B273" s="94"/>
      <c r="C273" s="94"/>
      <c r="D273" s="94"/>
      <c r="E273" s="94"/>
      <c r="F273" s="94"/>
      <c r="G273" s="94"/>
      <c r="H273" s="94"/>
      <c r="I273" s="94"/>
      <c r="J273" s="94"/>
      <c r="K273" s="94"/>
      <c r="L273" s="273"/>
      <c r="M273" s="273"/>
      <c r="N273" s="273"/>
      <c r="O273" s="273"/>
      <c r="P273" s="273"/>
      <c r="Q273" s="273"/>
      <c r="R273" s="273"/>
      <c r="S273" s="273"/>
      <c r="T273" s="273"/>
      <c r="U273" s="273"/>
      <c r="V273" s="273"/>
      <c r="W273" s="273"/>
      <c r="X273" s="273"/>
    </row>
    <row r="274" spans="1:24" ht="24.75" customHeight="1">
      <c r="A274" s="94"/>
      <c r="B274" s="94"/>
      <c r="C274" s="94"/>
      <c r="D274" s="94"/>
      <c r="E274" s="94"/>
      <c r="F274" s="94"/>
      <c r="G274" s="94"/>
      <c r="H274" s="94"/>
      <c r="I274" s="94"/>
      <c r="J274" s="94"/>
      <c r="K274" s="94"/>
      <c r="L274" s="273"/>
      <c r="M274" s="273"/>
      <c r="N274" s="273"/>
      <c r="O274" s="273"/>
      <c r="P274" s="273"/>
      <c r="Q274" s="273"/>
      <c r="R274" s="273"/>
      <c r="S274" s="273"/>
      <c r="T274" s="273"/>
      <c r="U274" s="273"/>
      <c r="V274" s="273"/>
      <c r="W274" s="273"/>
      <c r="X274" s="273"/>
    </row>
    <row r="275" spans="1:24" ht="24.75" customHeight="1">
      <c r="A275" s="94"/>
      <c r="B275" s="94"/>
      <c r="C275" s="94"/>
      <c r="D275" s="94"/>
      <c r="E275" s="94"/>
      <c r="F275" s="94"/>
      <c r="G275" s="94"/>
      <c r="H275" s="94"/>
      <c r="I275" s="94"/>
      <c r="J275" s="94"/>
      <c r="K275" s="94"/>
      <c r="L275" s="273"/>
      <c r="M275" s="273"/>
      <c r="N275" s="273"/>
      <c r="O275" s="273"/>
      <c r="P275" s="273"/>
      <c r="Q275" s="273"/>
      <c r="R275" s="273"/>
      <c r="S275" s="273"/>
      <c r="T275" s="273"/>
      <c r="U275" s="273"/>
      <c r="V275" s="273"/>
      <c r="W275" s="273"/>
      <c r="X275" s="273"/>
    </row>
    <row r="276" spans="1:24" ht="24.75" customHeight="1">
      <c r="A276" s="94"/>
      <c r="B276" s="94"/>
      <c r="C276" s="94"/>
      <c r="D276" s="94"/>
      <c r="E276" s="94"/>
      <c r="F276" s="94"/>
      <c r="G276" s="94"/>
      <c r="H276" s="94"/>
      <c r="I276" s="94"/>
      <c r="J276" s="94"/>
      <c r="K276" s="94"/>
      <c r="L276" s="273"/>
      <c r="M276" s="273"/>
      <c r="N276" s="273"/>
      <c r="O276" s="273"/>
      <c r="P276" s="273"/>
      <c r="Q276" s="273"/>
      <c r="R276" s="273"/>
      <c r="S276" s="273"/>
      <c r="T276" s="273"/>
      <c r="U276" s="273"/>
      <c r="V276" s="273"/>
      <c r="W276" s="273"/>
      <c r="X276" s="273"/>
    </row>
    <row r="277" spans="1:24" ht="24.75" customHeight="1">
      <c r="A277" s="94"/>
      <c r="B277" s="94"/>
      <c r="C277" s="94"/>
      <c r="D277" s="94"/>
      <c r="E277" s="94"/>
      <c r="F277" s="94"/>
      <c r="G277" s="94"/>
      <c r="H277" s="94"/>
      <c r="I277" s="94"/>
      <c r="J277" s="94"/>
      <c r="K277" s="94"/>
      <c r="L277" s="273"/>
      <c r="M277" s="273"/>
      <c r="N277" s="273"/>
      <c r="O277" s="273"/>
      <c r="P277" s="273"/>
      <c r="Q277" s="273"/>
      <c r="R277" s="273"/>
      <c r="S277" s="273"/>
      <c r="T277" s="273"/>
      <c r="U277" s="273"/>
      <c r="V277" s="273"/>
      <c r="W277" s="273"/>
      <c r="X277" s="273"/>
    </row>
    <row r="278" spans="1:24" ht="24.75" customHeight="1">
      <c r="A278" s="94"/>
      <c r="B278" s="94"/>
      <c r="C278" s="94"/>
      <c r="D278" s="94"/>
      <c r="E278" s="94"/>
      <c r="F278" s="94"/>
      <c r="G278" s="94"/>
      <c r="H278" s="94"/>
      <c r="I278" s="94"/>
      <c r="J278" s="94"/>
      <c r="K278" s="94"/>
      <c r="L278" s="273"/>
      <c r="M278" s="273"/>
      <c r="N278" s="273"/>
      <c r="O278" s="273"/>
      <c r="P278" s="273"/>
      <c r="Q278" s="273"/>
      <c r="R278" s="273"/>
      <c r="S278" s="273"/>
      <c r="T278" s="273"/>
      <c r="U278" s="273"/>
      <c r="V278" s="273"/>
      <c r="W278" s="273"/>
      <c r="X278" s="273"/>
    </row>
    <row r="279" spans="1:24" ht="24.75" customHeight="1">
      <c r="A279" s="94"/>
      <c r="B279" s="94"/>
      <c r="C279" s="94"/>
      <c r="D279" s="94"/>
      <c r="E279" s="94"/>
      <c r="F279" s="94"/>
      <c r="G279" s="94"/>
      <c r="H279" s="94"/>
      <c r="I279" s="94"/>
      <c r="J279" s="94"/>
      <c r="K279" s="94"/>
      <c r="L279" s="273"/>
      <c r="M279" s="273"/>
      <c r="N279" s="273"/>
      <c r="O279" s="273"/>
      <c r="P279" s="273"/>
      <c r="Q279" s="273"/>
      <c r="R279" s="273"/>
      <c r="S279" s="273"/>
      <c r="T279" s="273"/>
      <c r="U279" s="273"/>
      <c r="V279" s="273"/>
      <c r="W279" s="273"/>
      <c r="X279" s="273"/>
    </row>
    <row r="280" spans="1:24" ht="24.75" customHeight="1">
      <c r="A280" s="94"/>
      <c r="B280" s="94"/>
      <c r="C280" s="94"/>
      <c r="D280" s="94"/>
      <c r="E280" s="94"/>
      <c r="F280" s="94"/>
      <c r="G280" s="94"/>
      <c r="H280" s="94"/>
      <c r="I280" s="94"/>
      <c r="J280" s="94"/>
      <c r="K280" s="94"/>
      <c r="L280" s="273"/>
      <c r="M280" s="273"/>
      <c r="N280" s="273"/>
      <c r="O280" s="273"/>
      <c r="P280" s="273"/>
      <c r="Q280" s="273"/>
      <c r="R280" s="273"/>
      <c r="S280" s="273"/>
      <c r="T280" s="273"/>
      <c r="U280" s="273"/>
      <c r="V280" s="273"/>
      <c r="W280" s="273"/>
      <c r="X280" s="273"/>
    </row>
    <row r="281" spans="1:24" ht="24.75" customHeight="1">
      <c r="A281" s="94"/>
      <c r="B281" s="94"/>
      <c r="C281" s="94"/>
      <c r="D281" s="94"/>
      <c r="E281" s="94"/>
      <c r="F281" s="94"/>
      <c r="G281" s="94"/>
      <c r="H281" s="94"/>
      <c r="I281" s="94"/>
      <c r="J281" s="94"/>
      <c r="K281" s="94"/>
      <c r="L281" s="273"/>
      <c r="M281" s="273"/>
      <c r="N281" s="273"/>
      <c r="O281" s="273"/>
      <c r="P281" s="273"/>
      <c r="Q281" s="273"/>
      <c r="R281" s="273"/>
      <c r="S281" s="273"/>
      <c r="T281" s="273"/>
      <c r="U281" s="273"/>
      <c r="V281" s="273"/>
      <c r="W281" s="273"/>
      <c r="X281" s="273"/>
    </row>
    <row r="282" spans="1:24" ht="24.75" customHeight="1">
      <c r="A282" s="94"/>
      <c r="B282" s="94"/>
      <c r="C282" s="94"/>
      <c r="D282" s="94"/>
      <c r="E282" s="94"/>
      <c r="F282" s="94"/>
      <c r="G282" s="94"/>
      <c r="H282" s="94"/>
      <c r="I282" s="94"/>
      <c r="J282" s="94"/>
      <c r="K282" s="94"/>
      <c r="L282" s="273"/>
      <c r="M282" s="273"/>
      <c r="N282" s="273"/>
      <c r="O282" s="273"/>
      <c r="P282" s="273"/>
      <c r="Q282" s="273"/>
      <c r="R282" s="273"/>
      <c r="S282" s="273"/>
      <c r="T282" s="273"/>
      <c r="U282" s="273"/>
      <c r="V282" s="273"/>
      <c r="W282" s="273"/>
      <c r="X282" s="273"/>
    </row>
    <row r="283" spans="1:24" ht="24.75" customHeight="1">
      <c r="A283" s="94"/>
      <c r="B283" s="94"/>
      <c r="C283" s="94"/>
      <c r="D283" s="94"/>
      <c r="E283" s="94"/>
      <c r="F283" s="94"/>
      <c r="G283" s="94"/>
      <c r="H283" s="94"/>
      <c r="I283" s="94"/>
      <c r="J283" s="94"/>
      <c r="K283" s="94"/>
      <c r="L283" s="273"/>
      <c r="M283" s="273"/>
      <c r="N283" s="273"/>
      <c r="O283" s="273"/>
      <c r="P283" s="273"/>
      <c r="Q283" s="273"/>
      <c r="R283" s="273"/>
      <c r="S283" s="273"/>
      <c r="T283" s="273"/>
      <c r="U283" s="273"/>
      <c r="V283" s="273"/>
      <c r="W283" s="273"/>
      <c r="X283" s="273"/>
    </row>
    <row r="284" spans="1:24" ht="24.75" customHeight="1">
      <c r="A284" s="94"/>
      <c r="B284" s="94"/>
      <c r="C284" s="94"/>
      <c r="D284" s="94"/>
      <c r="E284" s="94"/>
      <c r="F284" s="94"/>
      <c r="G284" s="94"/>
      <c r="H284" s="94"/>
      <c r="I284" s="94"/>
      <c r="J284" s="94"/>
      <c r="K284" s="94"/>
      <c r="L284" s="273"/>
      <c r="M284" s="273"/>
      <c r="N284" s="273"/>
      <c r="O284" s="273"/>
      <c r="P284" s="273"/>
      <c r="Q284" s="273"/>
      <c r="R284" s="273"/>
      <c r="S284" s="273"/>
      <c r="T284" s="273"/>
      <c r="U284" s="273"/>
      <c r="V284" s="273"/>
      <c r="W284" s="273"/>
      <c r="X284" s="273"/>
    </row>
    <row r="285" spans="1:24" ht="24.75" customHeight="1">
      <c r="A285" s="94"/>
      <c r="B285" s="94"/>
      <c r="C285" s="94"/>
      <c r="D285" s="94"/>
      <c r="E285" s="94"/>
      <c r="F285" s="94"/>
      <c r="G285" s="94"/>
      <c r="H285" s="94"/>
      <c r="I285" s="94"/>
      <c r="J285" s="94"/>
      <c r="K285" s="94"/>
      <c r="L285" s="273"/>
      <c r="M285" s="273"/>
      <c r="N285" s="273"/>
      <c r="O285" s="273"/>
      <c r="P285" s="273"/>
      <c r="Q285" s="273"/>
      <c r="R285" s="273"/>
      <c r="S285" s="273"/>
      <c r="T285" s="273"/>
      <c r="U285" s="273"/>
      <c r="V285" s="273"/>
      <c r="W285" s="273"/>
      <c r="X285" s="273"/>
    </row>
    <row r="286" spans="1:24" ht="24.75" customHeight="1">
      <c r="A286" s="94"/>
      <c r="B286" s="94"/>
      <c r="C286" s="94"/>
      <c r="D286" s="94"/>
      <c r="E286" s="94"/>
      <c r="F286" s="94"/>
      <c r="G286" s="94"/>
      <c r="H286" s="94"/>
      <c r="I286" s="94"/>
      <c r="J286" s="94"/>
      <c r="K286" s="94"/>
      <c r="L286" s="273"/>
      <c r="M286" s="273"/>
      <c r="N286" s="273"/>
      <c r="O286" s="273"/>
      <c r="P286" s="273"/>
      <c r="Q286" s="273"/>
      <c r="R286" s="273"/>
      <c r="S286" s="273"/>
      <c r="T286" s="273"/>
      <c r="U286" s="273"/>
      <c r="V286" s="273"/>
      <c r="W286" s="273"/>
      <c r="X286" s="273"/>
    </row>
    <row r="287" spans="1:24" ht="24.75" customHeight="1">
      <c r="A287" s="94"/>
      <c r="B287" s="94"/>
      <c r="C287" s="94"/>
      <c r="D287" s="94"/>
      <c r="E287" s="94"/>
      <c r="F287" s="94"/>
      <c r="G287" s="94"/>
      <c r="H287" s="94"/>
      <c r="I287" s="94"/>
      <c r="J287" s="94"/>
      <c r="K287" s="94"/>
      <c r="L287" s="273"/>
      <c r="M287" s="273"/>
      <c r="N287" s="273"/>
      <c r="O287" s="273"/>
      <c r="P287" s="273"/>
      <c r="Q287" s="273"/>
      <c r="R287" s="273"/>
      <c r="S287" s="273"/>
      <c r="T287" s="273"/>
      <c r="U287" s="273"/>
      <c r="V287" s="273"/>
      <c r="W287" s="273"/>
      <c r="X287" s="273"/>
    </row>
    <row r="288" spans="1:24" ht="24.75" customHeight="1">
      <c r="A288" s="94"/>
      <c r="B288" s="94"/>
      <c r="C288" s="94"/>
      <c r="D288" s="94"/>
      <c r="E288" s="94"/>
      <c r="F288" s="94"/>
      <c r="G288" s="94"/>
      <c r="H288" s="94"/>
      <c r="I288" s="94"/>
      <c r="J288" s="94"/>
      <c r="K288" s="94"/>
      <c r="L288" s="273"/>
      <c r="M288" s="273"/>
      <c r="N288" s="273"/>
      <c r="O288" s="273"/>
      <c r="P288" s="273"/>
      <c r="Q288" s="273"/>
      <c r="R288" s="273"/>
      <c r="S288" s="273"/>
      <c r="T288" s="273"/>
      <c r="U288" s="273"/>
      <c r="V288" s="273"/>
      <c r="W288" s="273"/>
      <c r="X288" s="273"/>
    </row>
    <row r="289" spans="1:24" ht="24.75" customHeight="1">
      <c r="A289" s="94"/>
      <c r="B289" s="94"/>
      <c r="C289" s="94"/>
      <c r="D289" s="94"/>
      <c r="E289" s="94"/>
      <c r="F289" s="94"/>
      <c r="G289" s="94"/>
      <c r="H289" s="94"/>
      <c r="I289" s="94"/>
      <c r="J289" s="94"/>
      <c r="K289" s="94"/>
      <c r="L289" s="273"/>
      <c r="M289" s="273"/>
      <c r="N289" s="273"/>
      <c r="O289" s="273"/>
      <c r="P289" s="273"/>
      <c r="Q289" s="273"/>
      <c r="R289" s="273"/>
      <c r="S289" s="273"/>
      <c r="T289" s="273"/>
      <c r="U289" s="273"/>
      <c r="V289" s="273"/>
      <c r="W289" s="273"/>
      <c r="X289" s="273"/>
    </row>
    <row r="290" spans="1:24" ht="24.75" customHeight="1">
      <c r="A290" s="94"/>
      <c r="B290" s="94"/>
      <c r="C290" s="94"/>
      <c r="D290" s="94"/>
      <c r="E290" s="94"/>
      <c r="F290" s="94"/>
      <c r="G290" s="94"/>
      <c r="H290" s="94"/>
      <c r="I290" s="94"/>
      <c r="J290" s="94"/>
      <c r="K290" s="94"/>
      <c r="L290" s="273"/>
      <c r="M290" s="273"/>
      <c r="N290" s="273"/>
      <c r="O290" s="273"/>
      <c r="P290" s="273"/>
      <c r="Q290" s="273"/>
      <c r="R290" s="273"/>
      <c r="S290" s="273"/>
      <c r="T290" s="273"/>
      <c r="U290" s="273"/>
      <c r="V290" s="273"/>
      <c r="W290" s="273"/>
      <c r="X290" s="273"/>
    </row>
    <row r="291" spans="1:24" ht="24.75" customHeight="1">
      <c r="A291" s="94"/>
      <c r="B291" s="94"/>
      <c r="C291" s="94"/>
      <c r="D291" s="94"/>
      <c r="E291" s="94"/>
      <c r="F291" s="94"/>
      <c r="G291" s="94"/>
      <c r="H291" s="94"/>
      <c r="I291" s="94"/>
      <c r="J291" s="94"/>
      <c r="K291" s="94"/>
      <c r="L291" s="273"/>
      <c r="M291" s="273"/>
      <c r="N291" s="273"/>
      <c r="O291" s="273"/>
      <c r="P291" s="273"/>
      <c r="Q291" s="273"/>
      <c r="R291" s="273"/>
      <c r="S291" s="273"/>
      <c r="T291" s="273"/>
      <c r="U291" s="273"/>
      <c r="V291" s="273"/>
      <c r="W291" s="273"/>
      <c r="X291" s="273"/>
    </row>
    <row r="292" spans="1:24" ht="24.75" customHeight="1">
      <c r="A292" s="94"/>
      <c r="B292" s="94"/>
      <c r="C292" s="94"/>
      <c r="D292" s="94"/>
      <c r="E292" s="94"/>
      <c r="F292" s="94"/>
      <c r="G292" s="94"/>
      <c r="H292" s="94"/>
      <c r="I292" s="94"/>
      <c r="J292" s="94"/>
      <c r="K292" s="94"/>
      <c r="L292" s="273"/>
      <c r="M292" s="273"/>
      <c r="N292" s="273"/>
      <c r="O292" s="273"/>
      <c r="P292" s="273"/>
      <c r="Q292" s="273"/>
      <c r="R292" s="273"/>
      <c r="S292" s="273"/>
      <c r="T292" s="273"/>
      <c r="U292" s="273"/>
      <c r="V292" s="273"/>
      <c r="W292" s="273"/>
      <c r="X292" s="273"/>
    </row>
    <row r="293" spans="1:24" ht="24.75" customHeight="1">
      <c r="A293" s="94"/>
      <c r="B293" s="94"/>
      <c r="C293" s="94"/>
      <c r="D293" s="94"/>
      <c r="E293" s="94"/>
      <c r="F293" s="94"/>
      <c r="G293" s="94"/>
      <c r="H293" s="94"/>
      <c r="I293" s="94"/>
      <c r="J293" s="94"/>
      <c r="K293" s="94"/>
      <c r="L293" s="273"/>
      <c r="M293" s="273"/>
      <c r="N293" s="273"/>
      <c r="O293" s="273"/>
      <c r="P293" s="273"/>
      <c r="Q293" s="273"/>
      <c r="R293" s="273"/>
      <c r="S293" s="273"/>
      <c r="T293" s="273"/>
      <c r="U293" s="273"/>
      <c r="V293" s="273"/>
      <c r="W293" s="273"/>
      <c r="X293" s="273"/>
    </row>
    <row r="294" spans="1:24" ht="24.75" customHeight="1">
      <c r="A294" s="94"/>
      <c r="B294" s="94"/>
      <c r="C294" s="94"/>
      <c r="D294" s="94"/>
      <c r="E294" s="94"/>
      <c r="F294" s="94"/>
      <c r="G294" s="94"/>
      <c r="H294" s="94"/>
      <c r="I294" s="94"/>
      <c r="J294" s="94"/>
      <c r="K294" s="94"/>
      <c r="L294" s="273"/>
      <c r="M294" s="273"/>
      <c r="N294" s="273"/>
      <c r="O294" s="273"/>
      <c r="P294" s="273"/>
      <c r="Q294" s="273"/>
      <c r="R294" s="273"/>
      <c r="S294" s="273"/>
      <c r="T294" s="273"/>
      <c r="U294" s="273"/>
      <c r="V294" s="273"/>
      <c r="W294" s="273"/>
      <c r="X294" s="273"/>
    </row>
    <row r="295" spans="1:24" ht="24.75" customHeight="1">
      <c r="A295" s="94"/>
      <c r="B295" s="94"/>
      <c r="C295" s="94"/>
      <c r="D295" s="94"/>
      <c r="E295" s="94"/>
      <c r="F295" s="94"/>
      <c r="G295" s="94"/>
      <c r="H295" s="94"/>
      <c r="I295" s="94"/>
      <c r="J295" s="94"/>
      <c r="K295" s="94"/>
      <c r="L295" s="273"/>
      <c r="M295" s="273"/>
      <c r="N295" s="273"/>
      <c r="O295" s="273"/>
      <c r="P295" s="273"/>
      <c r="Q295" s="273"/>
      <c r="R295" s="273"/>
      <c r="S295" s="273"/>
      <c r="T295" s="273"/>
      <c r="U295" s="273"/>
      <c r="V295" s="273"/>
      <c r="W295" s="273"/>
      <c r="X295" s="273"/>
    </row>
    <row r="296" spans="1:24" ht="24.75" customHeight="1">
      <c r="A296" s="94"/>
      <c r="B296" s="94"/>
      <c r="C296" s="94"/>
      <c r="D296" s="94"/>
      <c r="E296" s="94"/>
      <c r="F296" s="94"/>
      <c r="G296" s="94"/>
      <c r="H296" s="94"/>
      <c r="I296" s="94"/>
      <c r="J296" s="94"/>
      <c r="K296" s="94"/>
      <c r="L296" s="273"/>
      <c r="M296" s="273"/>
      <c r="N296" s="273"/>
      <c r="O296" s="273"/>
      <c r="P296" s="273"/>
      <c r="Q296" s="273"/>
      <c r="R296" s="273"/>
      <c r="S296" s="273"/>
      <c r="T296" s="273"/>
      <c r="U296" s="273"/>
      <c r="V296" s="273"/>
      <c r="W296" s="273"/>
      <c r="X296" s="273"/>
    </row>
    <row r="297" spans="1:24" ht="24.75" customHeight="1">
      <c r="A297" s="94"/>
      <c r="B297" s="94"/>
      <c r="C297" s="94"/>
      <c r="D297" s="94"/>
      <c r="E297" s="94"/>
      <c r="F297" s="94"/>
      <c r="G297" s="94"/>
      <c r="H297" s="94"/>
      <c r="I297" s="94"/>
      <c r="J297" s="94"/>
      <c r="K297" s="94"/>
      <c r="L297" s="273"/>
      <c r="M297" s="273"/>
      <c r="N297" s="273"/>
      <c r="O297" s="273"/>
      <c r="P297" s="273"/>
      <c r="Q297" s="273"/>
      <c r="R297" s="273"/>
      <c r="S297" s="273"/>
      <c r="T297" s="273"/>
      <c r="U297" s="273"/>
      <c r="V297" s="273"/>
      <c r="W297" s="273"/>
      <c r="X297" s="273"/>
    </row>
    <row r="298" spans="1:24" ht="24.75" customHeight="1">
      <c r="A298" s="94"/>
      <c r="B298" s="94"/>
      <c r="C298" s="94"/>
      <c r="D298" s="94"/>
      <c r="E298" s="94"/>
      <c r="F298" s="94"/>
      <c r="G298" s="94"/>
      <c r="H298" s="94"/>
      <c r="I298" s="94"/>
      <c r="J298" s="94"/>
      <c r="K298" s="94"/>
      <c r="L298" s="273"/>
      <c r="M298" s="273"/>
      <c r="N298" s="273"/>
      <c r="O298" s="273"/>
      <c r="P298" s="273"/>
      <c r="Q298" s="273"/>
      <c r="R298" s="273"/>
      <c r="S298" s="273"/>
      <c r="T298" s="273"/>
      <c r="U298" s="273"/>
      <c r="V298" s="273"/>
      <c r="W298" s="273"/>
      <c r="X298" s="273"/>
    </row>
    <row r="299" spans="1:24" ht="24.75" customHeight="1">
      <c r="A299" s="94"/>
      <c r="B299" s="94"/>
      <c r="C299" s="94"/>
      <c r="D299" s="94"/>
      <c r="E299" s="94"/>
      <c r="F299" s="94"/>
      <c r="G299" s="94"/>
      <c r="H299" s="94"/>
      <c r="I299" s="94"/>
      <c r="J299" s="94"/>
      <c r="K299" s="94"/>
      <c r="L299" s="273"/>
      <c r="M299" s="273"/>
      <c r="N299" s="273"/>
      <c r="O299" s="273"/>
      <c r="P299" s="273"/>
      <c r="Q299" s="273"/>
      <c r="R299" s="273"/>
      <c r="S299" s="273"/>
      <c r="T299" s="273"/>
      <c r="U299" s="273"/>
      <c r="V299" s="273"/>
      <c r="W299" s="273"/>
      <c r="X299" s="273"/>
    </row>
    <row r="300" spans="1:24" ht="24.75" customHeight="1">
      <c r="A300" s="94"/>
      <c r="B300" s="94"/>
      <c r="C300" s="94"/>
      <c r="D300" s="94"/>
      <c r="E300" s="94"/>
      <c r="F300" s="94"/>
      <c r="G300" s="94"/>
      <c r="H300" s="94"/>
      <c r="I300" s="94"/>
      <c r="J300" s="94"/>
      <c r="K300" s="94"/>
      <c r="L300" s="273"/>
      <c r="M300" s="273"/>
      <c r="N300" s="273"/>
      <c r="O300" s="273"/>
      <c r="P300" s="273"/>
      <c r="Q300" s="273"/>
      <c r="R300" s="273"/>
      <c r="S300" s="273"/>
      <c r="T300" s="273"/>
      <c r="U300" s="273"/>
      <c r="V300" s="273"/>
      <c r="W300" s="273"/>
      <c r="X300" s="273"/>
    </row>
    <row r="301" spans="1:24" ht="24.75" customHeight="1">
      <c r="A301" s="94"/>
      <c r="B301" s="94"/>
      <c r="C301" s="94"/>
      <c r="D301" s="94"/>
      <c r="E301" s="94"/>
      <c r="F301" s="94"/>
      <c r="G301" s="94"/>
      <c r="H301" s="94"/>
      <c r="I301" s="94"/>
      <c r="J301" s="94"/>
      <c r="K301" s="94"/>
      <c r="L301" s="273"/>
      <c r="M301" s="273"/>
      <c r="N301" s="273"/>
      <c r="O301" s="273"/>
      <c r="P301" s="273"/>
      <c r="Q301" s="273"/>
      <c r="R301" s="273"/>
      <c r="S301" s="273"/>
      <c r="T301" s="273"/>
      <c r="U301" s="273"/>
      <c r="V301" s="273"/>
      <c r="W301" s="273"/>
      <c r="X301" s="273"/>
    </row>
    <row r="302" spans="1:24" ht="24.75" customHeight="1">
      <c r="A302" s="94"/>
      <c r="B302" s="94"/>
      <c r="C302" s="94"/>
      <c r="D302" s="94"/>
      <c r="E302" s="94"/>
      <c r="F302" s="94"/>
      <c r="G302" s="94"/>
      <c r="H302" s="94"/>
      <c r="I302" s="94"/>
      <c r="J302" s="94"/>
      <c r="K302" s="94"/>
      <c r="L302" s="273"/>
      <c r="M302" s="273"/>
      <c r="N302" s="273"/>
      <c r="O302" s="273"/>
      <c r="P302" s="273"/>
      <c r="Q302" s="273"/>
      <c r="R302" s="273"/>
      <c r="S302" s="273"/>
      <c r="T302" s="273"/>
      <c r="U302" s="273"/>
      <c r="V302" s="273"/>
      <c r="W302" s="273"/>
      <c r="X302" s="273"/>
    </row>
    <row r="303" spans="1:24" ht="24.75" customHeight="1">
      <c r="A303" s="94"/>
      <c r="B303" s="94"/>
      <c r="C303" s="94"/>
      <c r="D303" s="94"/>
      <c r="E303" s="94"/>
      <c r="F303" s="94"/>
      <c r="G303" s="94"/>
      <c r="H303" s="94"/>
      <c r="I303" s="94"/>
      <c r="J303" s="94"/>
      <c r="K303" s="94"/>
      <c r="L303" s="273"/>
      <c r="M303" s="273"/>
      <c r="N303" s="273"/>
      <c r="O303" s="273"/>
      <c r="P303" s="273"/>
      <c r="Q303" s="273"/>
      <c r="R303" s="273"/>
      <c r="S303" s="273"/>
      <c r="T303" s="273"/>
      <c r="U303" s="273"/>
      <c r="V303" s="273"/>
      <c r="W303" s="273"/>
      <c r="X303" s="273"/>
    </row>
    <row r="304" spans="1:24" ht="24.75" customHeight="1">
      <c r="A304" s="94"/>
      <c r="B304" s="94"/>
      <c r="C304" s="94"/>
      <c r="D304" s="94"/>
      <c r="E304" s="94"/>
      <c r="F304" s="94"/>
      <c r="G304" s="94"/>
      <c r="H304" s="94"/>
      <c r="I304" s="94"/>
      <c r="J304" s="94"/>
      <c r="K304" s="94"/>
      <c r="L304" s="273"/>
      <c r="M304" s="273"/>
      <c r="N304" s="273"/>
      <c r="O304" s="273"/>
      <c r="P304" s="273"/>
      <c r="Q304" s="273"/>
      <c r="R304" s="273"/>
      <c r="S304" s="273"/>
      <c r="T304" s="273"/>
      <c r="U304" s="273"/>
      <c r="V304" s="273"/>
      <c r="W304" s="273"/>
      <c r="X304" s="273"/>
    </row>
    <row r="305" spans="1:24" ht="24.75" customHeight="1">
      <c r="A305" s="94"/>
      <c r="B305" s="94"/>
      <c r="C305" s="94"/>
      <c r="D305" s="94"/>
      <c r="E305" s="94"/>
      <c r="F305" s="94"/>
      <c r="G305" s="94"/>
      <c r="H305" s="94"/>
      <c r="I305" s="94"/>
      <c r="J305" s="94"/>
      <c r="K305" s="94"/>
      <c r="L305" s="273"/>
      <c r="M305" s="273"/>
      <c r="N305" s="273"/>
      <c r="O305" s="273"/>
      <c r="P305" s="273"/>
      <c r="Q305" s="273"/>
      <c r="R305" s="273"/>
      <c r="S305" s="273"/>
      <c r="T305" s="273"/>
      <c r="U305" s="273"/>
      <c r="V305" s="273"/>
      <c r="W305" s="273"/>
      <c r="X305" s="273"/>
    </row>
    <row r="306" spans="1:24" ht="24.75" customHeight="1">
      <c r="A306" s="94"/>
      <c r="B306" s="94"/>
      <c r="C306" s="94"/>
      <c r="D306" s="94"/>
      <c r="E306" s="94"/>
      <c r="F306" s="94"/>
      <c r="G306" s="94"/>
      <c r="H306" s="94"/>
      <c r="I306" s="94"/>
      <c r="J306" s="94"/>
      <c r="K306" s="94"/>
      <c r="L306" s="273"/>
      <c r="M306" s="273"/>
      <c r="N306" s="273"/>
      <c r="O306" s="273"/>
      <c r="P306" s="273"/>
      <c r="Q306" s="273"/>
      <c r="R306" s="273"/>
      <c r="S306" s="273"/>
      <c r="T306" s="273"/>
      <c r="U306" s="273"/>
      <c r="V306" s="273"/>
      <c r="W306" s="273"/>
      <c r="X306" s="273"/>
    </row>
    <row r="307" spans="1:24" ht="24.75" customHeight="1">
      <c r="A307" s="94"/>
      <c r="B307" s="94"/>
      <c r="C307" s="94"/>
      <c r="D307" s="94"/>
      <c r="E307" s="94"/>
      <c r="F307" s="94"/>
      <c r="G307" s="94"/>
      <c r="H307" s="94"/>
      <c r="I307" s="94"/>
      <c r="J307" s="94"/>
      <c r="K307" s="94"/>
      <c r="L307" s="273"/>
      <c r="M307" s="273"/>
      <c r="N307" s="273"/>
      <c r="O307" s="273"/>
      <c r="P307" s="273"/>
      <c r="Q307" s="273"/>
      <c r="R307" s="273"/>
      <c r="S307" s="273"/>
      <c r="T307" s="273"/>
      <c r="U307" s="273"/>
      <c r="V307" s="273"/>
      <c r="W307" s="273"/>
      <c r="X307" s="273"/>
    </row>
    <row r="308" spans="1:24" ht="24.75" customHeight="1">
      <c r="A308" s="94"/>
      <c r="B308" s="94"/>
      <c r="C308" s="94"/>
      <c r="D308" s="94"/>
      <c r="E308" s="94"/>
      <c r="F308" s="94"/>
      <c r="G308" s="94"/>
      <c r="H308" s="94"/>
      <c r="I308" s="94"/>
      <c r="J308" s="94"/>
      <c r="K308" s="94"/>
      <c r="L308" s="273"/>
      <c r="M308" s="273"/>
      <c r="N308" s="273"/>
      <c r="O308" s="273"/>
      <c r="P308" s="273"/>
      <c r="Q308" s="273"/>
      <c r="R308" s="273"/>
      <c r="S308" s="273"/>
      <c r="T308" s="273"/>
      <c r="U308" s="273"/>
      <c r="V308" s="273"/>
      <c r="W308" s="273"/>
      <c r="X308" s="273"/>
    </row>
    <row r="309" spans="1:24" ht="24.75" customHeight="1">
      <c r="A309" s="94"/>
      <c r="B309" s="94"/>
      <c r="C309" s="94"/>
      <c r="D309" s="94"/>
      <c r="E309" s="94"/>
      <c r="F309" s="94"/>
      <c r="G309" s="94"/>
      <c r="H309" s="94"/>
      <c r="I309" s="94"/>
      <c r="J309" s="94"/>
      <c r="K309" s="94"/>
      <c r="L309" s="273"/>
      <c r="M309" s="273"/>
      <c r="N309" s="273"/>
      <c r="O309" s="273"/>
      <c r="P309" s="273"/>
      <c r="Q309" s="273"/>
      <c r="R309" s="273"/>
      <c r="S309" s="273"/>
      <c r="T309" s="273"/>
      <c r="U309" s="273"/>
      <c r="V309" s="273"/>
      <c r="W309" s="273"/>
      <c r="X309" s="273"/>
    </row>
    <row r="310" spans="1:24" ht="24.75" customHeight="1">
      <c r="A310" s="94"/>
      <c r="B310" s="94"/>
      <c r="C310" s="94"/>
      <c r="D310" s="94"/>
      <c r="E310" s="94"/>
      <c r="F310" s="94"/>
      <c r="G310" s="94"/>
      <c r="H310" s="94"/>
      <c r="I310" s="94"/>
      <c r="J310" s="94"/>
      <c r="K310" s="94"/>
      <c r="L310" s="273"/>
      <c r="M310" s="273"/>
      <c r="N310" s="273"/>
      <c r="O310" s="273"/>
      <c r="P310" s="273"/>
      <c r="Q310" s="273"/>
      <c r="R310" s="273"/>
      <c r="S310" s="273"/>
      <c r="T310" s="273"/>
      <c r="U310" s="273"/>
      <c r="V310" s="273"/>
      <c r="W310" s="273"/>
      <c r="X310" s="273"/>
    </row>
    <row r="311" spans="1:24" ht="24.75" customHeight="1">
      <c r="A311" s="94"/>
      <c r="B311" s="94"/>
      <c r="C311" s="94"/>
      <c r="D311" s="94"/>
      <c r="E311" s="94"/>
      <c r="F311" s="94"/>
      <c r="G311" s="94"/>
      <c r="H311" s="94"/>
      <c r="I311" s="94"/>
      <c r="J311" s="94"/>
      <c r="K311" s="94"/>
      <c r="L311" s="273"/>
      <c r="M311" s="273"/>
      <c r="N311" s="273"/>
      <c r="O311" s="273"/>
      <c r="P311" s="273"/>
      <c r="Q311" s="273"/>
      <c r="R311" s="273"/>
      <c r="S311" s="273"/>
      <c r="T311" s="273"/>
      <c r="U311" s="273"/>
      <c r="V311" s="273"/>
      <c r="W311" s="273"/>
      <c r="X311" s="273"/>
    </row>
    <row r="312" spans="1:24" ht="24.75" customHeight="1">
      <c r="A312" s="94"/>
      <c r="B312" s="94"/>
      <c r="C312" s="94"/>
      <c r="D312" s="94"/>
      <c r="E312" s="94"/>
      <c r="F312" s="94"/>
      <c r="G312" s="94"/>
      <c r="H312" s="94"/>
      <c r="I312" s="94"/>
      <c r="J312" s="94"/>
      <c r="K312" s="94"/>
      <c r="L312" s="273"/>
      <c r="M312" s="273"/>
      <c r="N312" s="273"/>
      <c r="O312" s="273"/>
      <c r="P312" s="273"/>
      <c r="Q312" s="273"/>
      <c r="R312" s="273"/>
      <c r="S312" s="273"/>
      <c r="T312" s="273"/>
      <c r="U312" s="273"/>
      <c r="V312" s="273"/>
      <c r="W312" s="273"/>
      <c r="X312" s="273"/>
    </row>
    <row r="313" spans="1:24" ht="24.75" customHeight="1">
      <c r="A313" s="94"/>
      <c r="B313" s="94"/>
      <c r="C313" s="94"/>
      <c r="D313" s="94"/>
      <c r="E313" s="94"/>
      <c r="F313" s="94"/>
      <c r="G313" s="94"/>
      <c r="H313" s="94"/>
      <c r="I313" s="94"/>
      <c r="J313" s="94"/>
      <c r="K313" s="94"/>
      <c r="L313" s="273"/>
      <c r="M313" s="273"/>
      <c r="N313" s="273"/>
      <c r="O313" s="273"/>
      <c r="P313" s="273"/>
      <c r="Q313" s="273"/>
      <c r="R313" s="273"/>
      <c r="S313" s="273"/>
      <c r="T313" s="273"/>
      <c r="U313" s="273"/>
      <c r="V313" s="273"/>
      <c r="W313" s="273"/>
      <c r="X313" s="273"/>
    </row>
    <row r="314" spans="1:24" ht="24.75" customHeight="1">
      <c r="A314" s="94"/>
      <c r="B314" s="94"/>
      <c r="C314" s="94"/>
      <c r="D314" s="94"/>
      <c r="E314" s="94"/>
      <c r="F314" s="94"/>
      <c r="G314" s="94"/>
      <c r="H314" s="94"/>
      <c r="I314" s="94"/>
      <c r="J314" s="94"/>
      <c r="K314" s="94"/>
      <c r="L314" s="273"/>
      <c r="M314" s="273"/>
      <c r="N314" s="273"/>
      <c r="O314" s="273"/>
      <c r="P314" s="273"/>
      <c r="Q314" s="273"/>
      <c r="R314" s="273"/>
      <c r="S314" s="273"/>
      <c r="T314" s="273"/>
      <c r="U314" s="273"/>
      <c r="V314" s="273"/>
      <c r="W314" s="273"/>
      <c r="X314" s="273"/>
    </row>
    <row r="315" spans="1:24" ht="24.75" customHeight="1">
      <c r="A315" s="94"/>
      <c r="B315" s="94"/>
      <c r="C315" s="94"/>
      <c r="D315" s="94"/>
      <c r="E315" s="94"/>
      <c r="F315" s="94"/>
      <c r="G315" s="94"/>
      <c r="H315" s="94"/>
      <c r="I315" s="94"/>
      <c r="J315" s="94"/>
      <c r="K315" s="94"/>
      <c r="L315" s="273"/>
      <c r="M315" s="273"/>
      <c r="N315" s="273"/>
      <c r="O315" s="273"/>
      <c r="P315" s="273"/>
      <c r="Q315" s="273"/>
      <c r="R315" s="273"/>
      <c r="S315" s="273"/>
      <c r="T315" s="273"/>
      <c r="U315" s="273"/>
      <c r="V315" s="273"/>
      <c r="W315" s="273"/>
      <c r="X315" s="273"/>
    </row>
    <row r="316" spans="1:24" ht="24.75" customHeight="1">
      <c r="A316" s="94"/>
      <c r="B316" s="94"/>
      <c r="C316" s="94"/>
      <c r="D316" s="94"/>
      <c r="E316" s="94"/>
      <c r="F316" s="94"/>
      <c r="G316" s="94"/>
      <c r="H316" s="94"/>
      <c r="I316" s="94"/>
      <c r="J316" s="94"/>
      <c r="K316" s="94"/>
      <c r="L316" s="273"/>
      <c r="M316" s="273"/>
      <c r="N316" s="273"/>
      <c r="O316" s="273"/>
      <c r="P316" s="273"/>
      <c r="Q316" s="273"/>
      <c r="R316" s="273"/>
      <c r="S316" s="273"/>
      <c r="T316" s="273"/>
      <c r="U316" s="273"/>
      <c r="V316" s="273"/>
      <c r="W316" s="273"/>
      <c r="X316" s="273"/>
    </row>
    <row r="317" spans="1:24" ht="24.75" customHeight="1">
      <c r="A317" s="94"/>
      <c r="B317" s="94"/>
      <c r="C317" s="94"/>
      <c r="D317" s="94"/>
      <c r="E317" s="94"/>
      <c r="F317" s="94"/>
      <c r="G317" s="94"/>
      <c r="H317" s="94"/>
      <c r="I317" s="94"/>
      <c r="J317" s="94"/>
      <c r="K317" s="94"/>
      <c r="L317" s="273"/>
      <c r="M317" s="273"/>
      <c r="N317" s="273"/>
      <c r="O317" s="273"/>
      <c r="P317" s="273"/>
      <c r="Q317" s="273"/>
      <c r="R317" s="273"/>
      <c r="S317" s="273"/>
      <c r="T317" s="273"/>
      <c r="U317" s="273"/>
      <c r="V317" s="273"/>
      <c r="W317" s="273"/>
      <c r="X317" s="273"/>
    </row>
    <row r="318" spans="1:24" ht="24.75" customHeight="1">
      <c r="A318" s="94"/>
      <c r="B318" s="94"/>
      <c r="C318" s="94"/>
      <c r="D318" s="94"/>
      <c r="E318" s="94"/>
      <c r="F318" s="94"/>
      <c r="G318" s="94"/>
      <c r="H318" s="94"/>
      <c r="I318" s="94"/>
      <c r="J318" s="94"/>
      <c r="K318" s="94"/>
      <c r="L318" s="273"/>
      <c r="M318" s="273"/>
      <c r="N318" s="273"/>
      <c r="O318" s="273"/>
      <c r="P318" s="273"/>
      <c r="Q318" s="273"/>
      <c r="R318" s="273"/>
      <c r="S318" s="273"/>
      <c r="T318" s="273"/>
      <c r="U318" s="273"/>
      <c r="V318" s="273"/>
      <c r="W318" s="273"/>
      <c r="X318" s="273"/>
    </row>
    <row r="319" spans="1:24" ht="24.75" customHeight="1">
      <c r="A319" s="94"/>
      <c r="B319" s="94"/>
      <c r="C319" s="94"/>
      <c r="D319" s="94"/>
      <c r="E319" s="94"/>
      <c r="F319" s="94"/>
      <c r="G319" s="94"/>
      <c r="H319" s="94"/>
      <c r="I319" s="94"/>
      <c r="J319" s="94"/>
      <c r="K319" s="94"/>
      <c r="L319" s="273"/>
      <c r="M319" s="273"/>
      <c r="N319" s="273"/>
      <c r="O319" s="273"/>
      <c r="P319" s="273"/>
      <c r="Q319" s="273"/>
      <c r="R319" s="273"/>
      <c r="S319" s="273"/>
      <c r="T319" s="273"/>
      <c r="U319" s="273"/>
      <c r="V319" s="273"/>
      <c r="W319" s="273"/>
      <c r="X319" s="273"/>
    </row>
    <row r="320" spans="1:24" ht="24.75" customHeight="1">
      <c r="A320" s="94"/>
      <c r="B320" s="94"/>
      <c r="C320" s="94"/>
      <c r="D320" s="94"/>
      <c r="E320" s="94"/>
      <c r="F320" s="94"/>
      <c r="G320" s="94"/>
      <c r="H320" s="94"/>
      <c r="I320" s="94"/>
      <c r="J320" s="94"/>
      <c r="K320" s="94"/>
      <c r="L320" s="273"/>
      <c r="M320" s="273"/>
      <c r="N320" s="273"/>
      <c r="O320" s="273"/>
      <c r="P320" s="273"/>
      <c r="Q320" s="273"/>
      <c r="R320" s="273"/>
      <c r="S320" s="273"/>
      <c r="T320" s="273"/>
      <c r="U320" s="273"/>
      <c r="V320" s="273"/>
      <c r="W320" s="273"/>
      <c r="X320" s="273"/>
    </row>
    <row r="321" spans="1:24" ht="24.75" customHeight="1">
      <c r="A321" s="94"/>
      <c r="B321" s="94"/>
      <c r="C321" s="94"/>
      <c r="D321" s="94"/>
      <c r="E321" s="94"/>
      <c r="F321" s="94"/>
      <c r="G321" s="94"/>
      <c r="H321" s="94"/>
      <c r="I321" s="94"/>
      <c r="J321" s="94"/>
      <c r="K321" s="94"/>
      <c r="L321" s="273"/>
      <c r="M321" s="273"/>
      <c r="N321" s="273"/>
      <c r="O321" s="273"/>
      <c r="P321" s="273"/>
      <c r="Q321" s="273"/>
      <c r="R321" s="273"/>
      <c r="S321" s="273"/>
      <c r="T321" s="273"/>
      <c r="U321" s="273"/>
      <c r="V321" s="273"/>
      <c r="W321" s="273"/>
      <c r="X321" s="273"/>
    </row>
    <row r="322" spans="1:24" ht="24.75" customHeight="1">
      <c r="A322" s="94"/>
      <c r="B322" s="94"/>
      <c r="C322" s="94"/>
      <c r="D322" s="94"/>
      <c r="E322" s="94"/>
      <c r="F322" s="94"/>
      <c r="G322" s="94"/>
      <c r="H322" s="94"/>
      <c r="I322" s="94"/>
      <c r="J322" s="94"/>
      <c r="K322" s="94"/>
      <c r="L322" s="273"/>
      <c r="M322" s="273"/>
      <c r="N322" s="273"/>
      <c r="O322" s="273"/>
      <c r="P322" s="273"/>
      <c r="Q322" s="273"/>
      <c r="R322" s="273"/>
      <c r="S322" s="273"/>
      <c r="T322" s="273"/>
      <c r="U322" s="273"/>
      <c r="V322" s="273"/>
      <c r="W322" s="273"/>
      <c r="X322" s="273"/>
    </row>
    <row r="323" spans="1:24" ht="24.75" customHeight="1">
      <c r="A323" s="94"/>
      <c r="B323" s="94"/>
      <c r="C323" s="94"/>
      <c r="D323" s="94"/>
      <c r="E323" s="94"/>
      <c r="F323" s="94"/>
      <c r="G323" s="94"/>
      <c r="H323" s="94"/>
      <c r="I323" s="94"/>
      <c r="J323" s="94"/>
      <c r="K323" s="94"/>
      <c r="L323" s="273"/>
      <c r="M323" s="273"/>
      <c r="N323" s="273"/>
      <c r="O323" s="273"/>
      <c r="P323" s="273"/>
      <c r="Q323" s="273"/>
      <c r="R323" s="273"/>
      <c r="S323" s="273"/>
      <c r="T323" s="273"/>
      <c r="U323" s="273"/>
      <c r="V323" s="273"/>
      <c r="W323" s="273"/>
      <c r="X323" s="273"/>
    </row>
    <row r="324" spans="1:24" ht="24.75" customHeight="1">
      <c r="A324" s="94"/>
      <c r="B324" s="94"/>
      <c r="C324" s="94"/>
      <c r="D324" s="94"/>
      <c r="E324" s="94"/>
      <c r="F324" s="94"/>
      <c r="G324" s="94"/>
      <c r="H324" s="94"/>
      <c r="I324" s="94"/>
      <c r="J324" s="94"/>
      <c r="K324" s="94"/>
      <c r="L324" s="273"/>
      <c r="M324" s="273"/>
      <c r="N324" s="273"/>
      <c r="O324" s="273"/>
      <c r="P324" s="273"/>
      <c r="Q324" s="273"/>
      <c r="R324" s="273"/>
      <c r="S324" s="273"/>
      <c r="T324" s="273"/>
      <c r="U324" s="273"/>
      <c r="V324" s="273"/>
      <c r="W324" s="273"/>
      <c r="X324" s="273"/>
    </row>
    <row r="325" spans="1:24" ht="24.75" customHeight="1">
      <c r="A325" s="94"/>
      <c r="B325" s="94"/>
      <c r="C325" s="94"/>
      <c r="D325" s="94"/>
      <c r="E325" s="94"/>
      <c r="F325" s="94"/>
      <c r="G325" s="94"/>
      <c r="H325" s="94"/>
      <c r="I325" s="94"/>
      <c r="J325" s="94"/>
      <c r="K325" s="94"/>
      <c r="L325" s="273"/>
      <c r="M325" s="273"/>
      <c r="N325" s="273"/>
      <c r="O325" s="273"/>
      <c r="P325" s="273"/>
      <c r="Q325" s="273"/>
      <c r="R325" s="273"/>
      <c r="S325" s="273"/>
      <c r="T325" s="273"/>
      <c r="U325" s="273"/>
      <c r="V325" s="273"/>
      <c r="W325" s="273"/>
      <c r="X325" s="273"/>
    </row>
    <row r="326" spans="1:24" ht="24.75" customHeight="1">
      <c r="A326" s="94"/>
      <c r="B326" s="94"/>
      <c r="C326" s="94"/>
      <c r="D326" s="94"/>
      <c r="E326" s="94"/>
      <c r="F326" s="94"/>
      <c r="G326" s="94"/>
      <c r="H326" s="94"/>
      <c r="I326" s="94"/>
      <c r="J326" s="94"/>
      <c r="K326" s="94"/>
      <c r="L326" s="273"/>
      <c r="M326" s="273"/>
      <c r="N326" s="273"/>
      <c r="O326" s="273"/>
      <c r="P326" s="273"/>
      <c r="Q326" s="273"/>
      <c r="R326" s="273"/>
      <c r="S326" s="273"/>
      <c r="T326" s="273"/>
      <c r="U326" s="273"/>
      <c r="V326" s="273"/>
      <c r="W326" s="273"/>
      <c r="X326" s="273"/>
    </row>
    <row r="327" spans="1:24" ht="24.75" customHeight="1">
      <c r="A327" s="94"/>
      <c r="B327" s="94"/>
      <c r="C327" s="94"/>
      <c r="D327" s="94"/>
      <c r="E327" s="94"/>
      <c r="F327" s="94"/>
      <c r="G327" s="94"/>
      <c r="H327" s="94"/>
      <c r="I327" s="94"/>
      <c r="J327" s="94"/>
      <c r="K327" s="94"/>
      <c r="L327" s="273"/>
      <c r="M327" s="273"/>
      <c r="N327" s="273"/>
      <c r="O327" s="273"/>
      <c r="P327" s="273"/>
      <c r="Q327" s="273"/>
      <c r="R327" s="273"/>
      <c r="S327" s="273"/>
      <c r="T327" s="273"/>
      <c r="U327" s="273"/>
      <c r="V327" s="273"/>
      <c r="W327" s="273"/>
      <c r="X327" s="273"/>
    </row>
    <row r="328" spans="1:24" ht="24.75" customHeight="1">
      <c r="A328" s="94"/>
      <c r="B328" s="94"/>
      <c r="C328" s="94"/>
      <c r="D328" s="94"/>
      <c r="E328" s="94"/>
      <c r="F328" s="94"/>
      <c r="G328" s="94"/>
      <c r="H328" s="94"/>
      <c r="I328" s="94"/>
      <c r="J328" s="94"/>
      <c r="K328" s="94"/>
      <c r="L328" s="273"/>
      <c r="M328" s="273"/>
      <c r="N328" s="273"/>
      <c r="O328" s="273"/>
      <c r="P328" s="273"/>
      <c r="Q328" s="273"/>
      <c r="R328" s="273"/>
      <c r="S328" s="273"/>
      <c r="T328" s="273"/>
      <c r="U328" s="273"/>
      <c r="V328" s="273"/>
      <c r="W328" s="273"/>
      <c r="X328" s="273"/>
    </row>
    <row r="329" spans="1:24" ht="24.75" customHeight="1">
      <c r="A329" s="94"/>
      <c r="B329" s="94"/>
      <c r="C329" s="94"/>
      <c r="D329" s="94"/>
      <c r="E329" s="94"/>
      <c r="F329" s="94"/>
      <c r="G329" s="94"/>
      <c r="H329" s="94"/>
      <c r="I329" s="94"/>
      <c r="J329" s="94"/>
      <c r="K329" s="94"/>
      <c r="L329" s="273"/>
      <c r="M329" s="273"/>
      <c r="N329" s="273"/>
      <c r="O329" s="273"/>
      <c r="P329" s="273"/>
      <c r="Q329" s="273"/>
      <c r="R329" s="273"/>
      <c r="S329" s="273"/>
      <c r="T329" s="273"/>
      <c r="U329" s="273"/>
      <c r="V329" s="273"/>
      <c r="W329" s="273"/>
      <c r="X329" s="273"/>
    </row>
    <row r="330" spans="1:24" ht="24.75" customHeight="1">
      <c r="A330" s="94"/>
      <c r="B330" s="94"/>
      <c r="C330" s="94"/>
      <c r="D330" s="94"/>
      <c r="E330" s="94"/>
      <c r="F330" s="94"/>
      <c r="G330" s="94"/>
      <c r="H330" s="94"/>
      <c r="I330" s="94"/>
      <c r="J330" s="94"/>
      <c r="K330" s="94"/>
      <c r="L330" s="273"/>
      <c r="M330" s="273"/>
      <c r="N330" s="273"/>
      <c r="O330" s="273"/>
      <c r="P330" s="273"/>
      <c r="Q330" s="273"/>
      <c r="R330" s="273"/>
      <c r="S330" s="273"/>
      <c r="T330" s="273"/>
      <c r="U330" s="273"/>
      <c r="V330" s="273"/>
      <c r="W330" s="273"/>
      <c r="X330" s="273"/>
    </row>
    <row r="331" spans="1:24" ht="24.75" customHeight="1">
      <c r="A331" s="94"/>
      <c r="B331" s="94"/>
      <c r="C331" s="94"/>
      <c r="D331" s="94"/>
      <c r="E331" s="94"/>
      <c r="F331" s="94"/>
      <c r="G331" s="94"/>
      <c r="H331" s="94"/>
      <c r="I331" s="94"/>
      <c r="J331" s="94"/>
      <c r="K331" s="94"/>
      <c r="L331" s="273"/>
      <c r="M331" s="273"/>
      <c r="N331" s="273"/>
      <c r="O331" s="273"/>
      <c r="P331" s="273"/>
      <c r="Q331" s="273"/>
      <c r="R331" s="273"/>
      <c r="S331" s="273"/>
      <c r="T331" s="273"/>
      <c r="U331" s="273"/>
      <c r="V331" s="273"/>
      <c r="W331" s="273"/>
      <c r="X331" s="273"/>
    </row>
    <row r="332" spans="1:24" ht="24.75" customHeight="1">
      <c r="A332" s="94"/>
      <c r="B332" s="94"/>
      <c r="C332" s="94"/>
      <c r="D332" s="94"/>
      <c r="E332" s="94"/>
      <c r="F332" s="94"/>
      <c r="G332" s="94"/>
      <c r="H332" s="94"/>
      <c r="I332" s="94"/>
      <c r="J332" s="94"/>
      <c r="K332" s="94"/>
      <c r="L332" s="273"/>
      <c r="M332" s="273"/>
      <c r="N332" s="273"/>
      <c r="O332" s="273"/>
      <c r="P332" s="273"/>
      <c r="Q332" s="273"/>
      <c r="R332" s="273"/>
      <c r="S332" s="273"/>
      <c r="T332" s="273"/>
      <c r="U332" s="273"/>
      <c r="V332" s="273"/>
      <c r="W332" s="273"/>
      <c r="X332" s="273"/>
    </row>
    <row r="333" spans="1:24" ht="24.75" customHeight="1">
      <c r="A333" s="94"/>
      <c r="B333" s="94"/>
      <c r="C333" s="94"/>
      <c r="D333" s="94"/>
      <c r="E333" s="94"/>
      <c r="F333" s="94"/>
      <c r="G333" s="94"/>
      <c r="H333" s="94"/>
      <c r="I333" s="94"/>
      <c r="J333" s="94"/>
      <c r="K333" s="94"/>
      <c r="L333" s="273"/>
      <c r="M333" s="273"/>
      <c r="N333" s="273"/>
      <c r="O333" s="273"/>
      <c r="P333" s="273"/>
      <c r="Q333" s="273"/>
      <c r="R333" s="273"/>
      <c r="S333" s="273"/>
      <c r="T333" s="273"/>
      <c r="U333" s="273"/>
      <c r="V333" s="273"/>
      <c r="W333" s="273"/>
      <c r="X333" s="273"/>
    </row>
    <row r="334" spans="1:24" ht="24.75" customHeight="1">
      <c r="A334" s="94"/>
      <c r="B334" s="94"/>
      <c r="C334" s="94"/>
      <c r="D334" s="94"/>
      <c r="E334" s="94"/>
      <c r="F334" s="94"/>
      <c r="G334" s="94"/>
      <c r="H334" s="94"/>
      <c r="I334" s="94"/>
      <c r="J334" s="94"/>
      <c r="K334" s="94"/>
      <c r="L334" s="273"/>
      <c r="M334" s="273"/>
      <c r="N334" s="273"/>
      <c r="O334" s="273"/>
      <c r="P334" s="273"/>
      <c r="Q334" s="273"/>
      <c r="R334" s="273"/>
      <c r="S334" s="273"/>
      <c r="T334" s="273"/>
      <c r="U334" s="273"/>
      <c r="V334" s="273"/>
      <c r="W334" s="273"/>
      <c r="X334" s="273"/>
    </row>
    <row r="335" spans="1:24" ht="24.75" customHeight="1">
      <c r="A335" s="94"/>
      <c r="B335" s="94"/>
      <c r="C335" s="94"/>
      <c r="D335" s="94"/>
      <c r="E335" s="94"/>
      <c r="F335" s="94"/>
      <c r="G335" s="94"/>
      <c r="H335" s="94"/>
      <c r="I335" s="94"/>
      <c r="J335" s="94"/>
      <c r="K335" s="94"/>
      <c r="L335" s="273"/>
      <c r="M335" s="273"/>
      <c r="N335" s="273"/>
      <c r="O335" s="273"/>
      <c r="P335" s="273"/>
      <c r="Q335" s="273"/>
      <c r="R335" s="273"/>
      <c r="S335" s="273"/>
      <c r="T335" s="273"/>
      <c r="U335" s="273"/>
      <c r="V335" s="273"/>
      <c r="W335" s="273"/>
      <c r="X335" s="273"/>
    </row>
    <row r="336" spans="1:24" ht="24.75" customHeight="1">
      <c r="A336" s="94"/>
      <c r="B336" s="94"/>
      <c r="C336" s="94"/>
      <c r="D336" s="94"/>
      <c r="E336" s="94"/>
      <c r="F336" s="94"/>
      <c r="G336" s="94"/>
      <c r="H336" s="94"/>
      <c r="I336" s="94"/>
      <c r="J336" s="94"/>
      <c r="K336" s="94"/>
      <c r="L336" s="273"/>
      <c r="M336" s="273"/>
      <c r="N336" s="273"/>
      <c r="O336" s="273"/>
      <c r="P336" s="273"/>
      <c r="Q336" s="273"/>
      <c r="R336" s="273"/>
      <c r="S336" s="273"/>
      <c r="T336" s="273"/>
      <c r="U336" s="273"/>
      <c r="V336" s="273"/>
      <c r="W336" s="273"/>
      <c r="X336" s="273"/>
    </row>
    <row r="337" spans="1:24" ht="24.75" customHeight="1">
      <c r="A337" s="94"/>
      <c r="B337" s="94"/>
      <c r="C337" s="94"/>
      <c r="D337" s="94"/>
      <c r="E337" s="94"/>
      <c r="F337" s="94"/>
      <c r="G337" s="94"/>
      <c r="H337" s="94"/>
      <c r="I337" s="94"/>
      <c r="J337" s="94"/>
      <c r="K337" s="94"/>
      <c r="L337" s="273"/>
      <c r="M337" s="273"/>
      <c r="N337" s="273"/>
      <c r="O337" s="273"/>
      <c r="P337" s="273"/>
      <c r="Q337" s="273"/>
      <c r="R337" s="273"/>
      <c r="S337" s="273"/>
      <c r="T337" s="273"/>
      <c r="U337" s="273"/>
      <c r="V337" s="273"/>
      <c r="W337" s="273"/>
      <c r="X337" s="273"/>
    </row>
    <row r="338" spans="1:24" ht="24.75" customHeight="1">
      <c r="A338" s="94"/>
      <c r="B338" s="94"/>
      <c r="C338" s="94"/>
      <c r="D338" s="94"/>
      <c r="E338" s="94"/>
      <c r="F338" s="94"/>
      <c r="G338" s="94"/>
      <c r="H338" s="94"/>
      <c r="I338" s="94"/>
      <c r="J338" s="94"/>
      <c r="K338" s="94"/>
      <c r="L338" s="273"/>
      <c r="M338" s="273"/>
      <c r="N338" s="273"/>
      <c r="O338" s="273"/>
      <c r="P338" s="273"/>
      <c r="Q338" s="273"/>
      <c r="R338" s="273"/>
      <c r="S338" s="273"/>
      <c r="T338" s="273"/>
      <c r="U338" s="273"/>
      <c r="V338" s="273"/>
      <c r="W338" s="273"/>
      <c r="X338" s="273"/>
    </row>
    <row r="339" spans="1:24" ht="24.75" customHeight="1">
      <c r="A339" s="94"/>
      <c r="B339" s="94"/>
      <c r="C339" s="94"/>
      <c r="D339" s="94"/>
      <c r="E339" s="94"/>
      <c r="F339" s="94"/>
      <c r="G339" s="94"/>
      <c r="H339" s="94"/>
      <c r="I339" s="94"/>
      <c r="J339" s="94"/>
      <c r="K339" s="94"/>
      <c r="L339" s="273"/>
      <c r="M339" s="273"/>
      <c r="N339" s="273"/>
      <c r="O339" s="273"/>
      <c r="P339" s="273"/>
      <c r="Q339" s="273"/>
      <c r="R339" s="273"/>
      <c r="S339" s="273"/>
      <c r="T339" s="273"/>
      <c r="U339" s="273"/>
      <c r="V339" s="273"/>
      <c r="W339" s="273"/>
      <c r="X339" s="273"/>
    </row>
    <row r="340" spans="1:24" ht="24.75" customHeight="1">
      <c r="A340" s="94"/>
      <c r="B340" s="94"/>
      <c r="C340" s="94"/>
      <c r="D340" s="94"/>
      <c r="E340" s="94"/>
      <c r="F340" s="94"/>
      <c r="G340" s="94"/>
      <c r="H340" s="94"/>
      <c r="I340" s="94"/>
      <c r="J340" s="94"/>
      <c r="K340" s="94"/>
      <c r="L340" s="273"/>
      <c r="M340" s="273"/>
      <c r="N340" s="273"/>
      <c r="O340" s="273"/>
      <c r="P340" s="273"/>
      <c r="Q340" s="273"/>
      <c r="R340" s="273"/>
      <c r="S340" s="273"/>
      <c r="T340" s="273"/>
      <c r="U340" s="273"/>
      <c r="V340" s="273"/>
      <c r="W340" s="273"/>
      <c r="X340" s="273"/>
    </row>
    <row r="341" spans="1:24" ht="24.75" customHeight="1">
      <c r="A341" s="94"/>
      <c r="B341" s="94"/>
      <c r="C341" s="94"/>
      <c r="D341" s="94"/>
      <c r="E341" s="94"/>
      <c r="F341" s="94"/>
      <c r="G341" s="94"/>
      <c r="H341" s="94"/>
      <c r="I341" s="94"/>
      <c r="J341" s="94"/>
      <c r="K341" s="94"/>
      <c r="L341" s="273"/>
      <c r="M341" s="273"/>
      <c r="N341" s="273"/>
      <c r="O341" s="273"/>
      <c r="P341" s="273"/>
      <c r="Q341" s="273"/>
      <c r="R341" s="273"/>
      <c r="S341" s="273"/>
      <c r="T341" s="273"/>
      <c r="U341" s="273"/>
      <c r="V341" s="273"/>
      <c r="W341" s="273"/>
      <c r="X341" s="273"/>
    </row>
    <row r="342" spans="1:24" ht="24.75" customHeight="1">
      <c r="A342" s="94"/>
      <c r="B342" s="94"/>
      <c r="C342" s="94"/>
      <c r="D342" s="94"/>
      <c r="E342" s="94"/>
      <c r="F342" s="94"/>
      <c r="G342" s="94"/>
      <c r="H342" s="94"/>
      <c r="I342" s="94"/>
      <c r="J342" s="94"/>
      <c r="K342" s="94"/>
      <c r="L342" s="273"/>
      <c r="M342" s="273"/>
      <c r="N342" s="273"/>
      <c r="O342" s="273"/>
      <c r="P342" s="273"/>
      <c r="Q342" s="273"/>
      <c r="R342" s="273"/>
      <c r="S342" s="273"/>
      <c r="T342" s="273"/>
      <c r="U342" s="273"/>
      <c r="V342" s="273"/>
      <c r="W342" s="273"/>
      <c r="X342" s="273"/>
    </row>
    <row r="343" spans="1:24" ht="24.75" customHeight="1">
      <c r="A343" s="94"/>
      <c r="B343" s="94"/>
      <c r="C343" s="94"/>
      <c r="D343" s="94"/>
      <c r="E343" s="94"/>
      <c r="F343" s="94"/>
      <c r="G343" s="94"/>
      <c r="H343" s="94"/>
      <c r="I343" s="94"/>
      <c r="J343" s="94"/>
      <c r="K343" s="94"/>
      <c r="L343" s="273"/>
      <c r="M343" s="273"/>
      <c r="N343" s="273"/>
      <c r="O343" s="273"/>
      <c r="P343" s="273"/>
      <c r="Q343" s="273"/>
      <c r="R343" s="273"/>
      <c r="S343" s="273"/>
      <c r="T343" s="273"/>
      <c r="U343" s="273"/>
      <c r="V343" s="273"/>
      <c r="W343" s="273"/>
      <c r="X343" s="273"/>
    </row>
    <row r="344" spans="1:24" ht="24.75" customHeight="1">
      <c r="A344" s="94"/>
      <c r="B344" s="94"/>
      <c r="C344" s="94"/>
      <c r="D344" s="94"/>
      <c r="E344" s="94"/>
      <c r="F344" s="94"/>
      <c r="G344" s="94"/>
      <c r="H344" s="94"/>
      <c r="I344" s="94"/>
      <c r="J344" s="94"/>
      <c r="K344" s="94"/>
      <c r="L344" s="273"/>
      <c r="M344" s="273"/>
      <c r="N344" s="273"/>
      <c r="O344" s="273"/>
      <c r="P344" s="273"/>
      <c r="Q344" s="273"/>
      <c r="R344" s="273"/>
      <c r="S344" s="273"/>
      <c r="T344" s="273"/>
      <c r="U344" s="273"/>
      <c r="V344" s="273"/>
      <c r="W344" s="273"/>
      <c r="X344" s="273"/>
    </row>
    <row r="345" spans="1:24" ht="24.75" customHeight="1">
      <c r="A345" s="94"/>
      <c r="B345" s="94"/>
      <c r="C345" s="94"/>
      <c r="D345" s="94"/>
      <c r="E345" s="94"/>
      <c r="F345" s="94"/>
      <c r="G345" s="94"/>
      <c r="H345" s="94"/>
      <c r="I345" s="94"/>
      <c r="J345" s="94"/>
      <c r="K345" s="94"/>
      <c r="L345" s="273"/>
      <c r="M345" s="273"/>
      <c r="N345" s="273"/>
      <c r="O345" s="273"/>
      <c r="P345" s="273"/>
      <c r="Q345" s="273"/>
      <c r="R345" s="273"/>
      <c r="S345" s="273"/>
      <c r="T345" s="273"/>
      <c r="U345" s="273"/>
      <c r="V345" s="273"/>
      <c r="W345" s="273"/>
      <c r="X345" s="273"/>
    </row>
    <row r="346" spans="1:24" ht="24.75" customHeight="1">
      <c r="A346" s="94"/>
      <c r="B346" s="94"/>
      <c r="C346" s="94"/>
      <c r="D346" s="94"/>
      <c r="E346" s="94"/>
      <c r="F346" s="94"/>
      <c r="G346" s="94"/>
      <c r="H346" s="94"/>
      <c r="I346" s="94"/>
      <c r="J346" s="94"/>
      <c r="K346" s="94"/>
      <c r="L346" s="273"/>
      <c r="M346" s="273"/>
      <c r="N346" s="273"/>
      <c r="O346" s="273"/>
      <c r="P346" s="273"/>
      <c r="Q346" s="273"/>
      <c r="R346" s="273"/>
      <c r="S346" s="273"/>
      <c r="T346" s="273"/>
      <c r="U346" s="273"/>
      <c r="V346" s="273"/>
      <c r="W346" s="273"/>
      <c r="X346" s="273"/>
    </row>
    <row r="347" spans="1:24" ht="24.75" customHeight="1">
      <c r="A347" s="94"/>
      <c r="B347" s="94"/>
      <c r="C347" s="94"/>
      <c r="D347" s="94"/>
      <c r="E347" s="94"/>
      <c r="F347" s="94"/>
      <c r="G347" s="94"/>
      <c r="H347" s="94"/>
      <c r="I347" s="94"/>
      <c r="J347" s="94"/>
      <c r="K347" s="94"/>
      <c r="L347" s="273"/>
      <c r="M347" s="273"/>
      <c r="N347" s="273"/>
      <c r="O347" s="273"/>
      <c r="P347" s="273"/>
      <c r="Q347" s="273"/>
      <c r="R347" s="273"/>
      <c r="S347" s="273"/>
      <c r="T347" s="273"/>
      <c r="U347" s="273"/>
      <c r="V347" s="273"/>
      <c r="W347" s="273"/>
      <c r="X347" s="273"/>
    </row>
    <row r="348" spans="1:24" ht="24.75" customHeight="1">
      <c r="A348" s="94"/>
      <c r="B348" s="94"/>
      <c r="C348" s="94"/>
      <c r="D348" s="94"/>
      <c r="E348" s="94"/>
      <c r="F348" s="94"/>
      <c r="G348" s="94"/>
      <c r="H348" s="94"/>
      <c r="I348" s="94"/>
      <c r="J348" s="94"/>
      <c r="K348" s="94"/>
      <c r="L348" s="273"/>
      <c r="M348" s="273"/>
      <c r="N348" s="273"/>
      <c r="O348" s="273"/>
      <c r="P348" s="273"/>
      <c r="Q348" s="273"/>
      <c r="R348" s="273"/>
      <c r="S348" s="273"/>
      <c r="T348" s="273"/>
      <c r="U348" s="273"/>
      <c r="V348" s="273"/>
      <c r="W348" s="273"/>
      <c r="X348" s="273"/>
    </row>
    <row r="349" spans="1:24" ht="24.75" customHeight="1">
      <c r="A349" s="94"/>
      <c r="B349" s="94"/>
      <c r="C349" s="94"/>
      <c r="D349" s="94"/>
      <c r="E349" s="94"/>
      <c r="F349" s="94"/>
      <c r="G349" s="94"/>
      <c r="H349" s="94"/>
      <c r="I349" s="94"/>
      <c r="J349" s="94"/>
      <c r="K349" s="94"/>
      <c r="L349" s="273"/>
      <c r="M349" s="273"/>
      <c r="N349" s="273"/>
      <c r="O349" s="273"/>
      <c r="P349" s="273"/>
      <c r="Q349" s="273"/>
      <c r="R349" s="273"/>
      <c r="S349" s="273"/>
      <c r="T349" s="273"/>
      <c r="U349" s="273"/>
      <c r="V349" s="273"/>
      <c r="W349" s="273"/>
      <c r="X349" s="273"/>
    </row>
    <row r="350" spans="1:24" ht="24.75" customHeight="1">
      <c r="A350" s="94"/>
      <c r="B350" s="94"/>
      <c r="C350" s="94"/>
      <c r="D350" s="94"/>
      <c r="E350" s="94"/>
      <c r="F350" s="94"/>
      <c r="G350" s="94"/>
      <c r="H350" s="94"/>
      <c r="I350" s="94"/>
      <c r="J350" s="94"/>
      <c r="K350" s="94"/>
      <c r="L350" s="273"/>
      <c r="M350" s="273"/>
      <c r="N350" s="273"/>
      <c r="O350" s="273"/>
      <c r="P350" s="273"/>
      <c r="Q350" s="273"/>
      <c r="R350" s="273"/>
      <c r="S350" s="273"/>
      <c r="T350" s="273"/>
      <c r="U350" s="273"/>
      <c r="V350" s="273"/>
      <c r="W350" s="273"/>
      <c r="X350" s="273"/>
    </row>
    <row r="351" spans="1:24" ht="24.75" customHeight="1">
      <c r="A351" s="94"/>
      <c r="B351" s="94"/>
      <c r="C351" s="94"/>
      <c r="D351" s="94"/>
      <c r="E351" s="94"/>
      <c r="F351" s="94"/>
      <c r="G351" s="94"/>
      <c r="H351" s="94"/>
      <c r="I351" s="94"/>
      <c r="J351" s="94"/>
      <c r="K351" s="94"/>
      <c r="L351" s="273"/>
      <c r="M351" s="273"/>
      <c r="N351" s="273"/>
      <c r="O351" s="273"/>
      <c r="P351" s="273"/>
      <c r="Q351" s="273"/>
      <c r="R351" s="273"/>
      <c r="S351" s="273"/>
      <c r="T351" s="273"/>
      <c r="U351" s="273"/>
      <c r="V351" s="273"/>
      <c r="W351" s="273"/>
      <c r="X351" s="273"/>
    </row>
    <row r="352" spans="1:24" ht="24.75" customHeight="1">
      <c r="A352" s="94"/>
      <c r="B352" s="94"/>
      <c r="C352" s="94"/>
      <c r="D352" s="94"/>
      <c r="E352" s="94"/>
      <c r="F352" s="94"/>
      <c r="G352" s="94"/>
      <c r="H352" s="94"/>
      <c r="I352" s="94"/>
      <c r="J352" s="94"/>
      <c r="K352" s="94"/>
      <c r="L352" s="273"/>
      <c r="M352" s="273"/>
      <c r="N352" s="273"/>
      <c r="O352" s="273"/>
      <c r="P352" s="273"/>
      <c r="Q352" s="273"/>
      <c r="R352" s="273"/>
      <c r="S352" s="273"/>
      <c r="T352" s="273"/>
      <c r="U352" s="273"/>
      <c r="V352" s="273"/>
      <c r="W352" s="273"/>
      <c r="X352" s="273"/>
    </row>
    <row r="353" spans="1:24" ht="24.75" customHeight="1">
      <c r="A353" s="94"/>
      <c r="B353" s="94"/>
      <c r="C353" s="94"/>
      <c r="D353" s="94"/>
      <c r="E353" s="94"/>
      <c r="F353" s="94"/>
      <c r="G353" s="94"/>
      <c r="H353" s="94"/>
      <c r="I353" s="94"/>
      <c r="J353" s="94"/>
      <c r="K353" s="94"/>
      <c r="L353" s="273"/>
      <c r="M353" s="273"/>
      <c r="N353" s="273"/>
      <c r="O353" s="273"/>
      <c r="P353" s="273"/>
      <c r="Q353" s="273"/>
      <c r="R353" s="273"/>
      <c r="S353" s="273"/>
      <c r="T353" s="273"/>
      <c r="U353" s="273"/>
      <c r="V353" s="273"/>
      <c r="W353" s="273"/>
      <c r="X353" s="273"/>
    </row>
    <row r="354" spans="1:24" ht="24.75" customHeight="1">
      <c r="A354" s="94"/>
      <c r="B354" s="94"/>
      <c r="C354" s="94"/>
      <c r="D354" s="94"/>
      <c r="E354" s="94"/>
      <c r="F354" s="94"/>
      <c r="G354" s="94"/>
      <c r="H354" s="94"/>
      <c r="I354" s="94"/>
      <c r="J354" s="94"/>
      <c r="K354" s="94"/>
      <c r="L354" s="273"/>
      <c r="M354" s="273"/>
      <c r="N354" s="273"/>
      <c r="O354" s="273"/>
      <c r="P354" s="273"/>
      <c r="Q354" s="273"/>
      <c r="R354" s="273"/>
      <c r="S354" s="273"/>
      <c r="T354" s="273"/>
      <c r="U354" s="273"/>
      <c r="V354" s="273"/>
      <c r="W354" s="273"/>
      <c r="X354" s="273"/>
    </row>
    <row r="355" spans="1:24" ht="24.75" customHeight="1">
      <c r="A355" s="94"/>
      <c r="B355" s="94"/>
      <c r="C355" s="94"/>
      <c r="D355" s="94"/>
      <c r="E355" s="94"/>
      <c r="F355" s="94"/>
      <c r="G355" s="94"/>
      <c r="H355" s="94"/>
      <c r="I355" s="94"/>
      <c r="J355" s="94"/>
      <c r="K355" s="94"/>
      <c r="L355" s="273"/>
      <c r="M355" s="273"/>
      <c r="N355" s="273"/>
      <c r="O355" s="273"/>
      <c r="P355" s="273"/>
      <c r="Q355" s="273"/>
      <c r="R355" s="273"/>
      <c r="S355" s="273"/>
      <c r="T355" s="273"/>
      <c r="U355" s="273"/>
      <c r="V355" s="273"/>
      <c r="W355" s="273"/>
      <c r="X355" s="273"/>
    </row>
    <row r="356" spans="1:24" ht="24.75" customHeight="1">
      <c r="A356" s="94"/>
      <c r="B356" s="94"/>
      <c r="C356" s="94"/>
      <c r="D356" s="94"/>
      <c r="E356" s="94"/>
      <c r="F356" s="94"/>
      <c r="G356" s="94"/>
      <c r="H356" s="94"/>
      <c r="I356" s="94"/>
      <c r="J356" s="94"/>
      <c r="K356" s="94"/>
      <c r="L356" s="273"/>
      <c r="M356" s="273"/>
      <c r="N356" s="273"/>
      <c r="O356" s="273"/>
      <c r="P356" s="273"/>
      <c r="Q356" s="273"/>
      <c r="R356" s="273"/>
      <c r="S356" s="273"/>
      <c r="T356" s="273"/>
      <c r="U356" s="273"/>
      <c r="V356" s="273"/>
      <c r="W356" s="273"/>
      <c r="X356" s="273"/>
    </row>
    <row r="357" spans="1:24" ht="24.75" customHeight="1">
      <c r="A357" s="94"/>
      <c r="B357" s="94"/>
      <c r="C357" s="94"/>
      <c r="D357" s="94"/>
      <c r="E357" s="94"/>
      <c r="F357" s="94"/>
      <c r="G357" s="94"/>
      <c r="H357" s="94"/>
      <c r="I357" s="94"/>
      <c r="J357" s="94"/>
      <c r="K357" s="94"/>
      <c r="L357" s="273"/>
      <c r="M357" s="273"/>
      <c r="N357" s="273"/>
      <c r="O357" s="273"/>
      <c r="P357" s="273"/>
      <c r="Q357" s="273"/>
      <c r="R357" s="273"/>
      <c r="S357" s="273"/>
      <c r="T357" s="273"/>
      <c r="U357" s="273"/>
      <c r="V357" s="273"/>
      <c r="W357" s="273"/>
      <c r="X357" s="273"/>
    </row>
    <row r="358" spans="1:24" ht="24.75" customHeight="1">
      <c r="A358" s="94"/>
      <c r="B358" s="94"/>
      <c r="C358" s="94"/>
      <c r="D358" s="94"/>
      <c r="E358" s="94"/>
      <c r="F358" s="94"/>
      <c r="G358" s="94"/>
      <c r="H358" s="94"/>
      <c r="I358" s="94"/>
      <c r="J358" s="94"/>
      <c r="K358" s="94"/>
      <c r="L358" s="273"/>
      <c r="M358" s="273"/>
      <c r="N358" s="273"/>
      <c r="O358" s="273"/>
      <c r="P358" s="273"/>
      <c r="Q358" s="273"/>
      <c r="R358" s="273"/>
      <c r="S358" s="273"/>
      <c r="T358" s="273"/>
      <c r="U358" s="273"/>
      <c r="V358" s="273"/>
      <c r="W358" s="273"/>
      <c r="X358" s="273"/>
    </row>
    <row r="359" spans="1:24" ht="24.75" customHeight="1">
      <c r="A359" s="94"/>
      <c r="B359" s="94"/>
      <c r="C359" s="94"/>
      <c r="D359" s="94"/>
      <c r="E359" s="94"/>
      <c r="F359" s="94"/>
      <c r="G359" s="94"/>
      <c r="H359" s="94"/>
      <c r="I359" s="94"/>
      <c r="J359" s="94"/>
      <c r="K359" s="94"/>
      <c r="L359" s="273"/>
      <c r="M359" s="273"/>
      <c r="N359" s="273"/>
      <c r="O359" s="273"/>
      <c r="P359" s="273"/>
      <c r="Q359" s="273"/>
      <c r="R359" s="273"/>
      <c r="S359" s="273"/>
      <c r="T359" s="273"/>
      <c r="U359" s="273"/>
      <c r="V359" s="273"/>
      <c r="W359" s="273"/>
      <c r="X359" s="273"/>
    </row>
    <row r="360" spans="1:24" ht="24.75" customHeight="1">
      <c r="A360" s="94"/>
      <c r="B360" s="94"/>
      <c r="C360" s="94"/>
      <c r="D360" s="94"/>
      <c r="E360" s="94"/>
      <c r="F360" s="94"/>
      <c r="G360" s="94"/>
      <c r="H360" s="94"/>
      <c r="I360" s="94"/>
      <c r="J360" s="94"/>
      <c r="K360" s="94"/>
      <c r="L360" s="273"/>
      <c r="M360" s="273"/>
      <c r="N360" s="273"/>
      <c r="O360" s="273"/>
      <c r="P360" s="273"/>
      <c r="Q360" s="273"/>
      <c r="R360" s="273"/>
      <c r="S360" s="273"/>
      <c r="T360" s="273"/>
      <c r="U360" s="273"/>
      <c r="V360" s="273"/>
      <c r="W360" s="273"/>
      <c r="X360" s="273"/>
    </row>
    <row r="361" spans="1:24" ht="24.75" customHeight="1">
      <c r="A361" s="94"/>
      <c r="B361" s="94"/>
      <c r="C361" s="94"/>
      <c r="D361" s="94"/>
      <c r="E361" s="94"/>
      <c r="F361" s="94"/>
      <c r="G361" s="94"/>
      <c r="H361" s="94"/>
      <c r="I361" s="94"/>
      <c r="J361" s="94"/>
      <c r="K361" s="94"/>
      <c r="L361" s="273"/>
      <c r="M361" s="273"/>
      <c r="N361" s="273"/>
      <c r="O361" s="273"/>
      <c r="P361" s="273"/>
      <c r="Q361" s="273"/>
      <c r="R361" s="273"/>
      <c r="S361" s="273"/>
      <c r="T361" s="273"/>
      <c r="U361" s="273"/>
      <c r="V361" s="273"/>
      <c r="W361" s="273"/>
      <c r="X361" s="273"/>
    </row>
    <row r="362" spans="1:24" ht="24.75" customHeight="1">
      <c r="A362" s="94"/>
      <c r="B362" s="94"/>
      <c r="C362" s="94"/>
      <c r="D362" s="94"/>
      <c r="E362" s="94"/>
      <c r="F362" s="94"/>
      <c r="G362" s="94"/>
      <c r="H362" s="94"/>
      <c r="I362" s="94"/>
      <c r="J362" s="94"/>
      <c r="K362" s="94"/>
      <c r="L362" s="273"/>
      <c r="M362" s="273"/>
      <c r="N362" s="273"/>
      <c r="O362" s="273"/>
      <c r="P362" s="273"/>
      <c r="Q362" s="273"/>
      <c r="R362" s="273"/>
      <c r="S362" s="273"/>
      <c r="T362" s="273"/>
      <c r="U362" s="273"/>
      <c r="V362" s="273"/>
      <c r="W362" s="273"/>
      <c r="X362" s="273"/>
    </row>
    <row r="363" spans="1:24" ht="24.75" customHeight="1">
      <c r="A363" s="94"/>
      <c r="B363" s="94"/>
      <c r="C363" s="94"/>
      <c r="D363" s="94"/>
      <c r="E363" s="94"/>
      <c r="F363" s="94"/>
      <c r="G363" s="94"/>
      <c r="H363" s="94"/>
      <c r="I363" s="94"/>
      <c r="J363" s="94"/>
      <c r="K363" s="94"/>
      <c r="L363" s="273"/>
      <c r="M363" s="273"/>
      <c r="N363" s="273"/>
      <c r="O363" s="273"/>
      <c r="P363" s="273"/>
      <c r="Q363" s="273"/>
      <c r="R363" s="273"/>
      <c r="S363" s="273"/>
      <c r="T363" s="273"/>
      <c r="U363" s="273"/>
      <c r="V363" s="273"/>
      <c r="W363" s="273"/>
      <c r="X363" s="273"/>
    </row>
    <row r="364" spans="1:24" ht="24.75" customHeight="1">
      <c r="A364" s="94"/>
      <c r="B364" s="94"/>
      <c r="C364" s="94"/>
      <c r="D364" s="94"/>
      <c r="E364" s="94"/>
      <c r="F364" s="94"/>
      <c r="G364" s="94"/>
      <c r="H364" s="94"/>
      <c r="I364" s="94"/>
      <c r="J364" s="94"/>
      <c r="K364" s="94"/>
      <c r="L364" s="273"/>
      <c r="M364" s="273"/>
      <c r="N364" s="273"/>
      <c r="O364" s="273"/>
      <c r="P364" s="273"/>
      <c r="Q364" s="273"/>
      <c r="R364" s="273"/>
      <c r="S364" s="273"/>
      <c r="T364" s="273"/>
      <c r="U364" s="273"/>
      <c r="V364" s="273"/>
      <c r="W364" s="273"/>
      <c r="X364" s="273"/>
    </row>
    <row r="365" spans="1:24" ht="24.75" customHeight="1">
      <c r="A365" s="94"/>
      <c r="B365" s="94"/>
      <c r="C365" s="94"/>
      <c r="D365" s="94"/>
      <c r="E365" s="94"/>
      <c r="F365" s="94"/>
      <c r="G365" s="94"/>
      <c r="H365" s="94"/>
      <c r="I365" s="94"/>
      <c r="J365" s="94"/>
      <c r="K365" s="94"/>
      <c r="L365" s="273"/>
      <c r="M365" s="273"/>
      <c r="N365" s="273"/>
      <c r="O365" s="273"/>
      <c r="P365" s="273"/>
      <c r="Q365" s="273"/>
      <c r="R365" s="273"/>
      <c r="S365" s="273"/>
      <c r="T365" s="273"/>
      <c r="U365" s="273"/>
      <c r="V365" s="273"/>
      <c r="W365" s="273"/>
      <c r="X365" s="273"/>
    </row>
    <row r="366" spans="1:24" ht="24.75" customHeight="1">
      <c r="A366" s="94"/>
      <c r="B366" s="94"/>
      <c r="C366" s="94"/>
      <c r="D366" s="94"/>
      <c r="E366" s="94"/>
      <c r="F366" s="94"/>
      <c r="G366" s="94"/>
      <c r="H366" s="94"/>
      <c r="I366" s="94"/>
      <c r="J366" s="94"/>
      <c r="K366" s="94"/>
      <c r="L366" s="273"/>
      <c r="M366" s="273"/>
      <c r="N366" s="273"/>
      <c r="O366" s="273"/>
      <c r="P366" s="273"/>
      <c r="Q366" s="273"/>
      <c r="R366" s="273"/>
      <c r="S366" s="273"/>
      <c r="T366" s="273"/>
      <c r="U366" s="273"/>
      <c r="V366" s="273"/>
      <c r="W366" s="273"/>
      <c r="X366" s="273"/>
    </row>
    <row r="367" spans="1:24" ht="24.75" customHeight="1">
      <c r="A367" s="94"/>
      <c r="B367" s="94"/>
      <c r="C367" s="94"/>
      <c r="D367" s="94"/>
      <c r="E367" s="94"/>
      <c r="F367" s="94"/>
      <c r="G367" s="94"/>
      <c r="H367" s="94"/>
      <c r="I367" s="94"/>
      <c r="J367" s="94"/>
      <c r="K367" s="94"/>
      <c r="L367" s="273"/>
      <c r="M367" s="273"/>
      <c r="N367" s="273"/>
      <c r="O367" s="273"/>
      <c r="P367" s="273"/>
      <c r="Q367" s="273"/>
      <c r="R367" s="273"/>
      <c r="S367" s="273"/>
      <c r="T367" s="273"/>
      <c r="U367" s="273"/>
      <c r="V367" s="273"/>
      <c r="W367" s="273"/>
      <c r="X367" s="273"/>
    </row>
    <row r="368" spans="1:24" ht="24.75" customHeight="1">
      <c r="A368" s="94"/>
      <c r="B368" s="94"/>
      <c r="C368" s="94"/>
      <c r="D368" s="94"/>
      <c r="E368" s="94"/>
      <c r="F368" s="94"/>
      <c r="G368" s="94"/>
      <c r="H368" s="94"/>
      <c r="I368" s="94"/>
      <c r="J368" s="94"/>
      <c r="K368" s="94"/>
      <c r="L368" s="273"/>
      <c r="M368" s="273"/>
      <c r="N368" s="273"/>
      <c r="O368" s="273"/>
      <c r="P368" s="273"/>
      <c r="Q368" s="273"/>
      <c r="R368" s="273"/>
      <c r="S368" s="273"/>
      <c r="T368" s="273"/>
      <c r="U368" s="273"/>
      <c r="V368" s="273"/>
      <c r="W368" s="273"/>
      <c r="X368" s="273"/>
    </row>
    <row r="369" spans="1:24" ht="24.75" customHeight="1">
      <c r="A369" s="94"/>
      <c r="B369" s="94"/>
      <c r="C369" s="94"/>
      <c r="D369" s="94"/>
      <c r="E369" s="94"/>
      <c r="F369" s="94"/>
      <c r="G369" s="94"/>
      <c r="H369" s="94"/>
      <c r="I369" s="94"/>
      <c r="J369" s="94"/>
      <c r="K369" s="94"/>
      <c r="L369" s="273"/>
      <c r="M369" s="273"/>
      <c r="N369" s="273"/>
      <c r="O369" s="273"/>
      <c r="P369" s="273"/>
      <c r="Q369" s="273"/>
      <c r="R369" s="273"/>
      <c r="S369" s="273"/>
      <c r="T369" s="273"/>
      <c r="U369" s="273"/>
      <c r="V369" s="273"/>
      <c r="W369" s="273"/>
      <c r="X369" s="273"/>
    </row>
    <row r="370" spans="1:24" ht="24.75" customHeight="1">
      <c r="A370" s="94"/>
      <c r="B370" s="94"/>
      <c r="C370" s="94"/>
      <c r="D370" s="94"/>
      <c r="E370" s="94"/>
      <c r="F370" s="94"/>
      <c r="G370" s="94"/>
      <c r="H370" s="94"/>
      <c r="I370" s="94"/>
      <c r="J370" s="94"/>
      <c r="K370" s="94"/>
      <c r="L370" s="273"/>
      <c r="M370" s="273"/>
      <c r="N370" s="273"/>
      <c r="O370" s="273"/>
      <c r="P370" s="273"/>
      <c r="Q370" s="273"/>
      <c r="R370" s="273"/>
      <c r="S370" s="273"/>
      <c r="T370" s="273"/>
      <c r="U370" s="273"/>
      <c r="V370" s="273"/>
      <c r="W370" s="273"/>
      <c r="X370" s="273"/>
    </row>
    <row r="371" spans="1:24" ht="24.75" customHeight="1">
      <c r="A371" s="94"/>
      <c r="B371" s="94"/>
      <c r="C371" s="94"/>
      <c r="D371" s="94"/>
      <c r="E371" s="94"/>
      <c r="F371" s="94"/>
      <c r="G371" s="94"/>
      <c r="H371" s="94"/>
      <c r="I371" s="94"/>
      <c r="J371" s="94"/>
      <c r="K371" s="94"/>
      <c r="L371" s="273"/>
      <c r="M371" s="273"/>
      <c r="N371" s="273"/>
      <c r="O371" s="273"/>
      <c r="P371" s="273"/>
      <c r="Q371" s="273"/>
      <c r="R371" s="273"/>
      <c r="S371" s="273"/>
      <c r="T371" s="273"/>
      <c r="U371" s="273"/>
      <c r="V371" s="273"/>
      <c r="W371" s="273"/>
      <c r="X371" s="273"/>
    </row>
    <row r="372" spans="1:24" ht="24.75" customHeight="1">
      <c r="A372" s="94"/>
      <c r="B372" s="94"/>
      <c r="C372" s="94"/>
      <c r="D372" s="94"/>
      <c r="E372" s="94"/>
      <c r="F372" s="94"/>
      <c r="G372" s="94"/>
      <c r="H372" s="94"/>
      <c r="I372" s="94"/>
      <c r="J372" s="94"/>
      <c r="K372" s="94"/>
      <c r="L372" s="273"/>
      <c r="M372" s="273"/>
      <c r="N372" s="273"/>
      <c r="O372" s="273"/>
      <c r="P372" s="273"/>
      <c r="Q372" s="273"/>
      <c r="R372" s="273"/>
      <c r="S372" s="273"/>
      <c r="T372" s="273"/>
      <c r="U372" s="273"/>
      <c r="V372" s="273"/>
      <c r="W372" s="273"/>
      <c r="X372" s="273"/>
    </row>
    <row r="373" spans="1:24" ht="24.75" customHeight="1">
      <c r="A373" s="94"/>
      <c r="B373" s="94"/>
      <c r="C373" s="94"/>
      <c r="D373" s="94"/>
      <c r="E373" s="94"/>
      <c r="F373" s="94"/>
      <c r="G373" s="94"/>
      <c r="H373" s="94"/>
      <c r="I373" s="94"/>
      <c r="J373" s="94"/>
      <c r="K373" s="94"/>
      <c r="L373" s="273"/>
      <c r="M373" s="273"/>
      <c r="N373" s="273"/>
      <c r="O373" s="273"/>
      <c r="P373" s="273"/>
      <c r="Q373" s="273"/>
      <c r="R373" s="273"/>
      <c r="S373" s="273"/>
      <c r="T373" s="273"/>
      <c r="U373" s="273"/>
      <c r="V373" s="273"/>
      <c r="W373" s="273"/>
      <c r="X373" s="273"/>
    </row>
    <row r="374" spans="1:24" ht="24.75" customHeight="1">
      <c r="A374" s="94"/>
      <c r="B374" s="94"/>
      <c r="C374" s="94"/>
      <c r="D374" s="94"/>
      <c r="E374" s="94"/>
      <c r="F374" s="94"/>
      <c r="G374" s="94"/>
      <c r="H374" s="94"/>
      <c r="I374" s="94"/>
      <c r="J374" s="94"/>
      <c r="K374" s="94"/>
      <c r="L374" s="273"/>
      <c r="M374" s="273"/>
      <c r="N374" s="273"/>
      <c r="O374" s="273"/>
      <c r="P374" s="273"/>
      <c r="Q374" s="273"/>
      <c r="R374" s="273"/>
      <c r="S374" s="273"/>
      <c r="T374" s="273"/>
      <c r="U374" s="273"/>
      <c r="V374" s="273"/>
      <c r="W374" s="273"/>
      <c r="X374" s="273"/>
    </row>
    <row r="375" spans="1:24" ht="24.75" customHeight="1">
      <c r="A375" s="94"/>
      <c r="B375" s="94"/>
      <c r="C375" s="94"/>
      <c r="D375" s="94"/>
      <c r="E375" s="94"/>
      <c r="F375" s="94"/>
      <c r="G375" s="94"/>
      <c r="H375" s="94"/>
      <c r="I375" s="94"/>
      <c r="J375" s="94"/>
      <c r="K375" s="94"/>
      <c r="L375" s="273"/>
      <c r="M375" s="273"/>
      <c r="N375" s="273"/>
      <c r="O375" s="273"/>
      <c r="P375" s="273"/>
      <c r="Q375" s="273"/>
      <c r="R375" s="273"/>
      <c r="S375" s="273"/>
      <c r="T375" s="273"/>
      <c r="U375" s="273"/>
      <c r="V375" s="273"/>
      <c r="W375" s="273"/>
      <c r="X375" s="273"/>
    </row>
    <row r="376" spans="1:24" ht="24.75" customHeight="1">
      <c r="A376" s="94"/>
      <c r="B376" s="94"/>
      <c r="C376" s="94"/>
      <c r="D376" s="94"/>
      <c r="E376" s="94"/>
      <c r="F376" s="94"/>
      <c r="G376" s="94"/>
      <c r="H376" s="94"/>
      <c r="I376" s="94"/>
      <c r="J376" s="94"/>
      <c r="K376" s="94"/>
      <c r="L376" s="273"/>
      <c r="M376" s="273"/>
      <c r="N376" s="273"/>
      <c r="O376" s="273"/>
      <c r="P376" s="273"/>
      <c r="Q376" s="273"/>
      <c r="R376" s="273"/>
      <c r="S376" s="273"/>
      <c r="T376" s="273"/>
      <c r="U376" s="273"/>
      <c r="V376" s="273"/>
      <c r="W376" s="273"/>
      <c r="X376" s="273"/>
    </row>
    <row r="377" spans="1:24" ht="24.75" customHeight="1">
      <c r="A377" s="94"/>
      <c r="B377" s="94"/>
      <c r="C377" s="94"/>
      <c r="D377" s="94"/>
      <c r="E377" s="94"/>
      <c r="F377" s="94"/>
      <c r="G377" s="94"/>
      <c r="H377" s="94"/>
      <c r="I377" s="94"/>
      <c r="J377" s="94"/>
      <c r="K377" s="94"/>
      <c r="L377" s="273"/>
      <c r="M377" s="273"/>
      <c r="N377" s="273"/>
      <c r="O377" s="273"/>
      <c r="P377" s="273"/>
      <c r="Q377" s="273"/>
      <c r="R377" s="273"/>
      <c r="S377" s="273"/>
      <c r="T377" s="273"/>
      <c r="U377" s="273"/>
      <c r="V377" s="273"/>
      <c r="W377" s="273"/>
      <c r="X377" s="273"/>
    </row>
    <row r="378" spans="1:24" ht="24.75" customHeight="1">
      <c r="A378" s="94"/>
      <c r="B378" s="94"/>
      <c r="C378" s="94"/>
      <c r="D378" s="94"/>
      <c r="E378" s="94"/>
      <c r="F378" s="94"/>
      <c r="G378" s="94"/>
      <c r="H378" s="94"/>
      <c r="I378" s="94"/>
      <c r="J378" s="94"/>
      <c r="K378" s="94"/>
      <c r="L378" s="273"/>
      <c r="M378" s="273"/>
      <c r="N378" s="273"/>
      <c r="O378" s="273"/>
      <c r="P378" s="273"/>
      <c r="Q378" s="273"/>
      <c r="R378" s="273"/>
      <c r="S378" s="273"/>
      <c r="T378" s="273"/>
      <c r="U378" s="273"/>
      <c r="V378" s="273"/>
      <c r="W378" s="273"/>
      <c r="X378" s="273"/>
    </row>
    <row r="379" spans="1:24" ht="24.75" customHeight="1">
      <c r="A379" s="94"/>
      <c r="B379" s="94"/>
      <c r="C379" s="94"/>
      <c r="D379" s="94"/>
      <c r="E379" s="94"/>
      <c r="F379" s="94"/>
      <c r="G379" s="94"/>
      <c r="H379" s="94"/>
      <c r="I379" s="94"/>
      <c r="J379" s="94"/>
      <c r="K379" s="94"/>
      <c r="L379" s="273"/>
      <c r="M379" s="273"/>
      <c r="N379" s="273"/>
      <c r="O379" s="273"/>
      <c r="P379" s="273"/>
      <c r="Q379" s="273"/>
      <c r="R379" s="273"/>
      <c r="S379" s="273"/>
      <c r="T379" s="273"/>
      <c r="U379" s="273"/>
      <c r="V379" s="273"/>
      <c r="W379" s="273"/>
      <c r="X379" s="273"/>
    </row>
    <row r="380" spans="1:24" ht="24.75" customHeight="1">
      <c r="A380" s="94"/>
      <c r="B380" s="94"/>
      <c r="C380" s="94"/>
      <c r="D380" s="94"/>
      <c r="E380" s="94"/>
      <c r="F380" s="94"/>
      <c r="G380" s="94"/>
      <c r="H380" s="94"/>
      <c r="I380" s="94"/>
      <c r="J380" s="94"/>
      <c r="K380" s="94"/>
      <c r="L380" s="273"/>
      <c r="M380" s="273"/>
      <c r="N380" s="273"/>
      <c r="O380" s="273"/>
      <c r="P380" s="273"/>
      <c r="Q380" s="273"/>
      <c r="R380" s="273"/>
      <c r="S380" s="273"/>
      <c r="T380" s="273"/>
      <c r="U380" s="273"/>
      <c r="V380" s="273"/>
      <c r="W380" s="273"/>
      <c r="X380" s="273"/>
    </row>
    <row r="381" spans="1:24" ht="24.75" customHeight="1">
      <c r="A381" s="94"/>
      <c r="B381" s="94"/>
      <c r="C381" s="94"/>
      <c r="D381" s="94"/>
      <c r="E381" s="94"/>
      <c r="F381" s="94"/>
      <c r="G381" s="94"/>
      <c r="H381" s="94"/>
      <c r="I381" s="94"/>
      <c r="J381" s="94"/>
      <c r="K381" s="94"/>
      <c r="L381" s="273"/>
      <c r="M381" s="273"/>
      <c r="N381" s="273"/>
      <c r="O381" s="273"/>
      <c r="P381" s="273"/>
      <c r="Q381" s="273"/>
      <c r="R381" s="273"/>
      <c r="S381" s="273"/>
      <c r="T381" s="273"/>
      <c r="U381" s="273"/>
      <c r="V381" s="273"/>
      <c r="W381" s="273"/>
      <c r="X381" s="273"/>
    </row>
    <row r="382" spans="1:24" ht="15.75" customHeight="1">
      <c r="L382" s="326"/>
      <c r="M382" s="326"/>
      <c r="N382" s="326"/>
      <c r="O382" s="326"/>
      <c r="P382" s="326"/>
      <c r="Q382" s="326"/>
      <c r="R382" s="326"/>
      <c r="S382" s="326"/>
      <c r="T382" s="326"/>
      <c r="U382" s="326"/>
      <c r="V382" s="326"/>
      <c r="W382" s="326"/>
      <c r="X382" s="326"/>
    </row>
    <row r="383" spans="1:24" ht="15.75" customHeight="1">
      <c r="L383" s="326"/>
      <c r="M383" s="326"/>
      <c r="N383" s="326"/>
      <c r="O383" s="326"/>
      <c r="P383" s="326"/>
      <c r="Q383" s="326"/>
      <c r="R383" s="326"/>
      <c r="S383" s="326"/>
      <c r="T383" s="326"/>
      <c r="U383" s="326"/>
      <c r="V383" s="326"/>
      <c r="W383" s="326"/>
      <c r="X383" s="326"/>
    </row>
    <row r="384" spans="1:24" ht="15.75" customHeight="1">
      <c r="L384" s="326"/>
      <c r="M384" s="326"/>
      <c r="N384" s="326"/>
      <c r="O384" s="326"/>
      <c r="P384" s="326"/>
      <c r="Q384" s="326"/>
      <c r="R384" s="326"/>
      <c r="S384" s="326"/>
      <c r="T384" s="326"/>
      <c r="U384" s="326"/>
      <c r="V384" s="326"/>
      <c r="W384" s="326"/>
      <c r="X384" s="326"/>
    </row>
    <row r="385" spans="12:24" ht="15.75" customHeight="1">
      <c r="L385" s="326"/>
      <c r="M385" s="326"/>
      <c r="N385" s="326"/>
      <c r="O385" s="326"/>
      <c r="P385" s="326"/>
      <c r="Q385" s="326"/>
      <c r="R385" s="326"/>
      <c r="S385" s="326"/>
      <c r="T385" s="326"/>
      <c r="U385" s="326"/>
      <c r="V385" s="326"/>
      <c r="W385" s="326"/>
      <c r="X385" s="326"/>
    </row>
    <row r="386" spans="12:24" ht="15.75" customHeight="1">
      <c r="L386" s="326"/>
      <c r="M386" s="326"/>
      <c r="N386" s="326"/>
      <c r="O386" s="326"/>
      <c r="P386" s="326"/>
      <c r="Q386" s="326"/>
      <c r="R386" s="326"/>
      <c r="S386" s="326"/>
      <c r="T386" s="326"/>
      <c r="U386" s="326"/>
      <c r="V386" s="326"/>
      <c r="W386" s="326"/>
      <c r="X386" s="326"/>
    </row>
    <row r="387" spans="12:24" ht="15.75" customHeight="1">
      <c r="L387" s="326"/>
      <c r="M387" s="326"/>
      <c r="N387" s="326"/>
      <c r="O387" s="326"/>
      <c r="P387" s="326"/>
      <c r="Q387" s="326"/>
      <c r="R387" s="326"/>
      <c r="S387" s="326"/>
      <c r="T387" s="326"/>
      <c r="U387" s="326"/>
      <c r="V387" s="326"/>
      <c r="W387" s="326"/>
      <c r="X387" s="326"/>
    </row>
    <row r="388" spans="12:24" ht="15.75" customHeight="1">
      <c r="L388" s="326"/>
      <c r="M388" s="326"/>
      <c r="N388" s="326"/>
      <c r="O388" s="326"/>
      <c r="P388" s="326"/>
      <c r="Q388" s="326"/>
      <c r="R388" s="326"/>
      <c r="S388" s="326"/>
      <c r="T388" s="326"/>
      <c r="U388" s="326"/>
      <c r="V388" s="326"/>
      <c r="W388" s="326"/>
      <c r="X388" s="326"/>
    </row>
    <row r="389" spans="12:24" ht="15.75" customHeight="1">
      <c r="L389" s="326"/>
      <c r="M389" s="326"/>
      <c r="N389" s="326"/>
      <c r="O389" s="326"/>
      <c r="P389" s="326"/>
      <c r="Q389" s="326"/>
      <c r="R389" s="326"/>
      <c r="S389" s="326"/>
      <c r="T389" s="326"/>
      <c r="U389" s="326"/>
      <c r="V389" s="326"/>
      <c r="W389" s="326"/>
      <c r="X389" s="326"/>
    </row>
    <row r="390" spans="12:24" ht="15.75" customHeight="1">
      <c r="L390" s="326"/>
      <c r="M390" s="326"/>
      <c r="N390" s="326"/>
      <c r="O390" s="326"/>
      <c r="P390" s="326"/>
      <c r="Q390" s="326"/>
      <c r="R390" s="326"/>
      <c r="S390" s="326"/>
      <c r="T390" s="326"/>
      <c r="U390" s="326"/>
      <c r="V390" s="326"/>
      <c r="W390" s="326"/>
      <c r="X390" s="326"/>
    </row>
    <row r="391" spans="12:24" ht="15.75" customHeight="1">
      <c r="L391" s="326"/>
      <c r="M391" s="326"/>
      <c r="N391" s="326"/>
      <c r="O391" s="326"/>
      <c r="P391" s="326"/>
      <c r="Q391" s="326"/>
      <c r="R391" s="326"/>
      <c r="S391" s="326"/>
      <c r="T391" s="326"/>
      <c r="U391" s="326"/>
      <c r="V391" s="326"/>
      <c r="W391" s="326"/>
      <c r="X391" s="326"/>
    </row>
    <row r="392" spans="12:24" ht="15.75" customHeight="1">
      <c r="L392" s="326"/>
      <c r="M392" s="326"/>
      <c r="N392" s="326"/>
      <c r="O392" s="326"/>
      <c r="P392" s="326"/>
      <c r="Q392" s="326"/>
      <c r="R392" s="326"/>
      <c r="S392" s="326"/>
      <c r="T392" s="326"/>
      <c r="U392" s="326"/>
      <c r="V392" s="326"/>
      <c r="W392" s="326"/>
      <c r="X392" s="326"/>
    </row>
    <row r="393" spans="12:24" ht="15.75" customHeight="1">
      <c r="L393" s="326"/>
      <c r="M393" s="326"/>
      <c r="N393" s="326"/>
      <c r="O393" s="326"/>
      <c r="P393" s="326"/>
      <c r="Q393" s="326"/>
      <c r="R393" s="326"/>
      <c r="S393" s="326"/>
      <c r="T393" s="326"/>
      <c r="U393" s="326"/>
      <c r="V393" s="326"/>
      <c r="W393" s="326"/>
      <c r="X393" s="326"/>
    </row>
    <row r="394" spans="12:24" ht="15.75" customHeight="1">
      <c r="L394" s="326"/>
      <c r="M394" s="326"/>
      <c r="N394" s="326"/>
      <c r="O394" s="326"/>
      <c r="P394" s="326"/>
      <c r="Q394" s="326"/>
      <c r="R394" s="326"/>
      <c r="S394" s="326"/>
      <c r="T394" s="326"/>
      <c r="U394" s="326"/>
      <c r="V394" s="326"/>
      <c r="W394" s="326"/>
      <c r="X394" s="326"/>
    </row>
    <row r="395" spans="12:24" ht="15.75" customHeight="1">
      <c r="L395" s="326"/>
      <c r="M395" s="326"/>
      <c r="N395" s="326"/>
      <c r="O395" s="326"/>
      <c r="P395" s="326"/>
      <c r="Q395" s="326"/>
      <c r="R395" s="326"/>
      <c r="S395" s="326"/>
      <c r="T395" s="326"/>
      <c r="U395" s="326"/>
      <c r="V395" s="326"/>
      <c r="W395" s="326"/>
      <c r="X395" s="326"/>
    </row>
    <row r="396" spans="12:24" ht="15.75" customHeight="1">
      <c r="L396" s="326"/>
      <c r="M396" s="326"/>
      <c r="N396" s="326"/>
      <c r="O396" s="326"/>
      <c r="P396" s="326"/>
      <c r="Q396" s="326"/>
      <c r="R396" s="326"/>
      <c r="S396" s="326"/>
      <c r="T396" s="326"/>
      <c r="U396" s="326"/>
      <c r="V396" s="326"/>
      <c r="W396" s="326"/>
      <c r="X396" s="326"/>
    </row>
    <row r="397" spans="12:24" ht="15.75" customHeight="1">
      <c r="L397" s="326"/>
      <c r="M397" s="326"/>
      <c r="N397" s="326"/>
      <c r="O397" s="326"/>
      <c r="P397" s="326"/>
      <c r="Q397" s="326"/>
      <c r="R397" s="326"/>
      <c r="S397" s="326"/>
      <c r="T397" s="326"/>
      <c r="U397" s="326"/>
      <c r="V397" s="326"/>
      <c r="W397" s="326"/>
      <c r="X397" s="326"/>
    </row>
    <row r="398" spans="12:24" ht="15.75" customHeight="1">
      <c r="L398" s="326"/>
      <c r="M398" s="326"/>
      <c r="N398" s="326"/>
      <c r="O398" s="326"/>
      <c r="P398" s="326"/>
      <c r="Q398" s="326"/>
      <c r="R398" s="326"/>
      <c r="S398" s="326"/>
      <c r="T398" s="326"/>
      <c r="U398" s="326"/>
      <c r="V398" s="326"/>
      <c r="W398" s="326"/>
      <c r="X398" s="326"/>
    </row>
    <row r="399" spans="12:24" ht="15.75" customHeight="1">
      <c r="L399" s="326"/>
      <c r="M399" s="326"/>
      <c r="N399" s="326"/>
      <c r="O399" s="326"/>
      <c r="P399" s="326"/>
      <c r="Q399" s="326"/>
      <c r="R399" s="326"/>
      <c r="S399" s="326"/>
      <c r="T399" s="326"/>
      <c r="U399" s="326"/>
      <c r="V399" s="326"/>
      <c r="W399" s="326"/>
      <c r="X399" s="326"/>
    </row>
    <row r="400" spans="12:24" ht="15.75" customHeight="1">
      <c r="L400" s="326"/>
      <c r="M400" s="326"/>
      <c r="N400" s="326"/>
      <c r="O400" s="326"/>
      <c r="P400" s="326"/>
      <c r="Q400" s="326"/>
      <c r="R400" s="326"/>
      <c r="S400" s="326"/>
      <c r="T400" s="326"/>
      <c r="U400" s="326"/>
      <c r="V400" s="326"/>
      <c r="W400" s="326"/>
      <c r="X400" s="326"/>
    </row>
    <row r="401" spans="12:24" ht="15.75" customHeight="1">
      <c r="L401" s="326"/>
      <c r="M401" s="326"/>
      <c r="N401" s="326"/>
      <c r="O401" s="326"/>
      <c r="P401" s="326"/>
      <c r="Q401" s="326"/>
      <c r="R401" s="326"/>
      <c r="S401" s="326"/>
      <c r="T401" s="326"/>
      <c r="U401" s="326"/>
      <c r="V401" s="326"/>
      <c r="W401" s="326"/>
      <c r="X401" s="326"/>
    </row>
    <row r="402" spans="12:24" ht="15.75" customHeight="1">
      <c r="L402" s="326"/>
      <c r="M402" s="326"/>
      <c r="N402" s="326"/>
      <c r="O402" s="326"/>
      <c r="P402" s="326"/>
      <c r="Q402" s="326"/>
      <c r="R402" s="326"/>
      <c r="S402" s="326"/>
      <c r="T402" s="326"/>
      <c r="U402" s="326"/>
      <c r="V402" s="326"/>
      <c r="W402" s="326"/>
      <c r="X402" s="326"/>
    </row>
    <row r="403" spans="12:24" ht="15.75" customHeight="1">
      <c r="L403" s="326"/>
      <c r="M403" s="326"/>
      <c r="N403" s="326"/>
      <c r="O403" s="326"/>
      <c r="P403" s="326"/>
      <c r="Q403" s="326"/>
      <c r="R403" s="326"/>
      <c r="S403" s="326"/>
      <c r="T403" s="326"/>
      <c r="U403" s="326"/>
      <c r="V403" s="326"/>
      <c r="W403" s="326"/>
      <c r="X403" s="326"/>
    </row>
    <row r="404" spans="12:24" ht="15.75" customHeight="1">
      <c r="L404" s="326"/>
      <c r="M404" s="326"/>
      <c r="N404" s="326"/>
      <c r="O404" s="326"/>
      <c r="P404" s="326"/>
      <c r="Q404" s="326"/>
      <c r="R404" s="326"/>
      <c r="S404" s="326"/>
      <c r="T404" s="326"/>
      <c r="U404" s="326"/>
      <c r="V404" s="326"/>
      <c r="W404" s="326"/>
      <c r="X404" s="326"/>
    </row>
    <row r="405" spans="12:24" ht="15.75" customHeight="1">
      <c r="L405" s="326"/>
      <c r="M405" s="326"/>
      <c r="N405" s="326"/>
      <c r="O405" s="326"/>
      <c r="P405" s="326"/>
      <c r="Q405" s="326"/>
      <c r="R405" s="326"/>
      <c r="S405" s="326"/>
      <c r="T405" s="326"/>
      <c r="U405" s="326"/>
      <c r="V405" s="326"/>
      <c r="W405" s="326"/>
      <c r="X405" s="326"/>
    </row>
    <row r="406" spans="12:24" ht="15.75" customHeight="1">
      <c r="L406" s="326"/>
      <c r="M406" s="326"/>
      <c r="N406" s="326"/>
      <c r="O406" s="326"/>
      <c r="P406" s="326"/>
      <c r="Q406" s="326"/>
      <c r="R406" s="326"/>
      <c r="S406" s="326"/>
      <c r="T406" s="326"/>
      <c r="U406" s="326"/>
      <c r="V406" s="326"/>
      <c r="W406" s="326"/>
      <c r="X406" s="326"/>
    </row>
    <row r="407" spans="12:24" ht="15.75" customHeight="1">
      <c r="L407" s="326"/>
      <c r="M407" s="326"/>
      <c r="N407" s="326"/>
      <c r="O407" s="326"/>
      <c r="P407" s="326"/>
      <c r="Q407" s="326"/>
      <c r="R407" s="326"/>
      <c r="S407" s="326"/>
      <c r="T407" s="326"/>
      <c r="U407" s="326"/>
      <c r="V407" s="326"/>
      <c r="W407" s="326"/>
      <c r="X407" s="326"/>
    </row>
    <row r="408" spans="12:24" ht="15.75" customHeight="1">
      <c r="L408" s="326"/>
      <c r="M408" s="326"/>
      <c r="N408" s="326"/>
      <c r="O408" s="326"/>
      <c r="P408" s="326"/>
      <c r="Q408" s="326"/>
      <c r="R408" s="326"/>
      <c r="S408" s="326"/>
      <c r="T408" s="326"/>
      <c r="U408" s="326"/>
      <c r="V408" s="326"/>
      <c r="W408" s="326"/>
      <c r="X408" s="326"/>
    </row>
    <row r="409" spans="12:24" ht="15.75" customHeight="1">
      <c r="L409" s="326"/>
      <c r="M409" s="326"/>
      <c r="N409" s="326"/>
      <c r="O409" s="326"/>
      <c r="P409" s="326"/>
      <c r="Q409" s="326"/>
      <c r="R409" s="326"/>
      <c r="S409" s="326"/>
      <c r="T409" s="326"/>
      <c r="U409" s="326"/>
      <c r="V409" s="326"/>
      <c r="W409" s="326"/>
      <c r="X409" s="326"/>
    </row>
    <row r="410" spans="12:24" ht="15.75" customHeight="1">
      <c r="L410" s="326"/>
      <c r="M410" s="326"/>
      <c r="N410" s="326"/>
      <c r="O410" s="326"/>
      <c r="P410" s="326"/>
      <c r="Q410" s="326"/>
      <c r="R410" s="326"/>
      <c r="S410" s="326"/>
      <c r="T410" s="326"/>
      <c r="U410" s="326"/>
      <c r="V410" s="326"/>
      <c r="W410" s="326"/>
      <c r="X410" s="326"/>
    </row>
    <row r="411" spans="12:24" ht="15.75" customHeight="1">
      <c r="L411" s="326"/>
      <c r="M411" s="326"/>
      <c r="N411" s="326"/>
      <c r="O411" s="326"/>
      <c r="P411" s="326"/>
      <c r="Q411" s="326"/>
      <c r="R411" s="326"/>
      <c r="S411" s="326"/>
      <c r="T411" s="326"/>
      <c r="U411" s="326"/>
      <c r="V411" s="326"/>
      <c r="W411" s="326"/>
      <c r="X411" s="326"/>
    </row>
    <row r="412" spans="12:24" ht="15.75" customHeight="1">
      <c r="L412" s="326"/>
      <c r="M412" s="326"/>
      <c r="N412" s="326"/>
      <c r="O412" s="326"/>
      <c r="P412" s="326"/>
      <c r="Q412" s="326"/>
      <c r="R412" s="326"/>
      <c r="S412" s="326"/>
      <c r="T412" s="326"/>
      <c r="U412" s="326"/>
      <c r="V412" s="326"/>
      <c r="W412" s="326"/>
      <c r="X412" s="326"/>
    </row>
    <row r="413" spans="12:24" ht="15.75" customHeight="1">
      <c r="L413" s="326"/>
      <c r="M413" s="326"/>
      <c r="N413" s="326"/>
      <c r="O413" s="326"/>
      <c r="P413" s="326"/>
      <c r="Q413" s="326"/>
      <c r="R413" s="326"/>
      <c r="S413" s="326"/>
      <c r="T413" s="326"/>
      <c r="U413" s="326"/>
      <c r="V413" s="326"/>
      <c r="W413" s="326"/>
      <c r="X413" s="326"/>
    </row>
    <row r="414" spans="12:24" ht="15.75" customHeight="1">
      <c r="L414" s="326"/>
      <c r="M414" s="326"/>
      <c r="N414" s="326"/>
      <c r="O414" s="326"/>
      <c r="P414" s="326"/>
      <c r="Q414" s="326"/>
      <c r="R414" s="326"/>
      <c r="S414" s="326"/>
      <c r="T414" s="326"/>
      <c r="U414" s="326"/>
      <c r="V414" s="326"/>
      <c r="W414" s="326"/>
      <c r="X414" s="326"/>
    </row>
    <row r="415" spans="12:24" ht="15.75" customHeight="1">
      <c r="L415" s="326"/>
      <c r="M415" s="326"/>
      <c r="N415" s="326"/>
      <c r="O415" s="326"/>
      <c r="P415" s="326"/>
      <c r="Q415" s="326"/>
      <c r="R415" s="326"/>
      <c r="S415" s="326"/>
      <c r="T415" s="326"/>
      <c r="U415" s="326"/>
      <c r="V415" s="326"/>
      <c r="W415" s="326"/>
      <c r="X415" s="326"/>
    </row>
    <row r="416" spans="12:24" ht="15.75" customHeight="1">
      <c r="L416" s="326"/>
      <c r="M416" s="326"/>
      <c r="N416" s="326"/>
      <c r="O416" s="326"/>
      <c r="P416" s="326"/>
      <c r="Q416" s="326"/>
      <c r="R416" s="326"/>
      <c r="S416" s="326"/>
      <c r="T416" s="326"/>
      <c r="U416" s="326"/>
      <c r="V416" s="326"/>
      <c r="W416" s="326"/>
      <c r="X416" s="326"/>
    </row>
    <row r="417" spans="12:24" ht="15.75" customHeight="1">
      <c r="L417" s="326"/>
      <c r="M417" s="326"/>
      <c r="N417" s="326"/>
      <c r="O417" s="326"/>
      <c r="P417" s="326"/>
      <c r="Q417" s="326"/>
      <c r="R417" s="326"/>
      <c r="S417" s="326"/>
      <c r="T417" s="326"/>
      <c r="U417" s="326"/>
      <c r="V417" s="326"/>
      <c r="W417" s="326"/>
      <c r="X417" s="326"/>
    </row>
    <row r="418" spans="12:24" ht="15.75" customHeight="1">
      <c r="L418" s="326"/>
      <c r="M418" s="326"/>
      <c r="N418" s="326"/>
      <c r="O418" s="326"/>
      <c r="P418" s="326"/>
      <c r="Q418" s="326"/>
      <c r="R418" s="326"/>
      <c r="S418" s="326"/>
      <c r="T418" s="326"/>
      <c r="U418" s="326"/>
      <c r="V418" s="326"/>
      <c r="W418" s="326"/>
      <c r="X418" s="326"/>
    </row>
    <row r="419" spans="12:24" ht="15.75" customHeight="1">
      <c r="L419" s="326"/>
      <c r="M419" s="326"/>
      <c r="N419" s="326"/>
      <c r="O419" s="326"/>
      <c r="P419" s="326"/>
      <c r="Q419" s="326"/>
      <c r="R419" s="326"/>
      <c r="S419" s="326"/>
      <c r="T419" s="326"/>
      <c r="U419" s="326"/>
      <c r="V419" s="326"/>
      <c r="W419" s="326"/>
      <c r="X419" s="326"/>
    </row>
    <row r="420" spans="12:24" ht="15.75" customHeight="1">
      <c r="L420" s="326"/>
      <c r="M420" s="326"/>
      <c r="N420" s="326"/>
      <c r="O420" s="326"/>
      <c r="P420" s="326"/>
      <c r="Q420" s="326"/>
      <c r="R420" s="326"/>
      <c r="S420" s="326"/>
      <c r="T420" s="326"/>
      <c r="U420" s="326"/>
      <c r="V420" s="326"/>
      <c r="W420" s="326"/>
      <c r="X420" s="326"/>
    </row>
    <row r="421" spans="12:24" ht="15.75" customHeight="1">
      <c r="L421" s="326"/>
      <c r="M421" s="326"/>
      <c r="N421" s="326"/>
      <c r="O421" s="326"/>
      <c r="P421" s="326"/>
      <c r="Q421" s="326"/>
      <c r="R421" s="326"/>
      <c r="S421" s="326"/>
      <c r="T421" s="326"/>
      <c r="U421" s="326"/>
      <c r="V421" s="326"/>
      <c r="W421" s="326"/>
      <c r="X421" s="326"/>
    </row>
    <row r="422" spans="12:24" ht="15.75" customHeight="1">
      <c r="L422" s="326"/>
      <c r="M422" s="326"/>
      <c r="N422" s="326"/>
      <c r="O422" s="326"/>
      <c r="P422" s="326"/>
      <c r="Q422" s="326"/>
      <c r="R422" s="326"/>
      <c r="S422" s="326"/>
      <c r="T422" s="326"/>
      <c r="U422" s="326"/>
      <c r="V422" s="326"/>
      <c r="W422" s="326"/>
      <c r="X422" s="326"/>
    </row>
    <row r="423" spans="12:24" ht="15.75" customHeight="1">
      <c r="L423" s="326"/>
      <c r="M423" s="326"/>
      <c r="N423" s="326"/>
      <c r="O423" s="326"/>
      <c r="P423" s="326"/>
      <c r="Q423" s="326"/>
      <c r="R423" s="326"/>
      <c r="S423" s="326"/>
      <c r="T423" s="326"/>
      <c r="U423" s="326"/>
      <c r="V423" s="326"/>
      <c r="W423" s="326"/>
      <c r="X423" s="326"/>
    </row>
    <row r="424" spans="12:24" ht="15.75" customHeight="1">
      <c r="L424" s="326"/>
      <c r="M424" s="326"/>
      <c r="N424" s="326"/>
      <c r="O424" s="326"/>
      <c r="P424" s="326"/>
      <c r="Q424" s="326"/>
      <c r="R424" s="326"/>
      <c r="S424" s="326"/>
      <c r="T424" s="326"/>
      <c r="U424" s="326"/>
      <c r="V424" s="326"/>
      <c r="W424" s="326"/>
      <c r="X424" s="326"/>
    </row>
    <row r="425" spans="12:24" ht="15.75" customHeight="1">
      <c r="L425" s="326"/>
      <c r="M425" s="326"/>
      <c r="N425" s="326"/>
      <c r="O425" s="326"/>
      <c r="P425" s="326"/>
      <c r="Q425" s="326"/>
      <c r="R425" s="326"/>
      <c r="S425" s="326"/>
      <c r="T425" s="326"/>
      <c r="U425" s="326"/>
      <c r="V425" s="326"/>
      <c r="W425" s="326"/>
      <c r="X425" s="326"/>
    </row>
    <row r="426" spans="12:24" ht="15.75" customHeight="1">
      <c r="L426" s="326"/>
      <c r="M426" s="326"/>
      <c r="N426" s="326"/>
      <c r="O426" s="326"/>
      <c r="P426" s="326"/>
      <c r="Q426" s="326"/>
      <c r="R426" s="326"/>
      <c r="S426" s="326"/>
      <c r="T426" s="326"/>
      <c r="U426" s="326"/>
      <c r="V426" s="326"/>
      <c r="W426" s="326"/>
      <c r="X426" s="326"/>
    </row>
    <row r="427" spans="12:24" ht="15.75" customHeight="1">
      <c r="L427" s="326"/>
      <c r="M427" s="326"/>
      <c r="N427" s="326"/>
      <c r="O427" s="326"/>
      <c r="P427" s="326"/>
      <c r="Q427" s="326"/>
      <c r="R427" s="326"/>
      <c r="S427" s="326"/>
      <c r="T427" s="326"/>
      <c r="U427" s="326"/>
      <c r="V427" s="326"/>
      <c r="W427" s="326"/>
      <c r="X427" s="326"/>
    </row>
    <row r="428" spans="12:24" ht="15.75" customHeight="1">
      <c r="L428" s="326"/>
      <c r="M428" s="326"/>
      <c r="N428" s="326"/>
      <c r="O428" s="326"/>
      <c r="P428" s="326"/>
      <c r="Q428" s="326"/>
      <c r="R428" s="326"/>
      <c r="S428" s="326"/>
      <c r="T428" s="326"/>
      <c r="U428" s="326"/>
      <c r="V428" s="326"/>
      <c r="W428" s="326"/>
      <c r="X428" s="326"/>
    </row>
    <row r="429" spans="12:24" ht="15.75" customHeight="1">
      <c r="L429" s="326"/>
      <c r="M429" s="326"/>
      <c r="N429" s="326"/>
      <c r="O429" s="326"/>
      <c r="P429" s="326"/>
      <c r="Q429" s="326"/>
      <c r="R429" s="326"/>
      <c r="S429" s="326"/>
      <c r="T429" s="326"/>
      <c r="U429" s="326"/>
      <c r="V429" s="326"/>
      <c r="W429" s="326"/>
      <c r="X429" s="326"/>
    </row>
    <row r="430" spans="12:24" ht="15.75" customHeight="1">
      <c r="L430" s="326"/>
      <c r="M430" s="326"/>
      <c r="N430" s="326"/>
      <c r="O430" s="326"/>
      <c r="P430" s="326"/>
      <c r="Q430" s="326"/>
      <c r="R430" s="326"/>
      <c r="S430" s="326"/>
      <c r="T430" s="326"/>
      <c r="U430" s="326"/>
      <c r="V430" s="326"/>
      <c r="W430" s="326"/>
      <c r="X430" s="326"/>
    </row>
    <row r="431" spans="12:24" ht="15.75" customHeight="1">
      <c r="L431" s="326"/>
      <c r="M431" s="326"/>
      <c r="N431" s="326"/>
      <c r="O431" s="326"/>
      <c r="P431" s="326"/>
      <c r="Q431" s="326"/>
      <c r="R431" s="326"/>
      <c r="S431" s="326"/>
      <c r="T431" s="326"/>
      <c r="U431" s="326"/>
      <c r="V431" s="326"/>
      <c r="W431" s="326"/>
      <c r="X431" s="326"/>
    </row>
    <row r="432" spans="12:24" ht="15.75" customHeight="1">
      <c r="L432" s="326"/>
      <c r="M432" s="326"/>
      <c r="N432" s="326"/>
      <c r="O432" s="326"/>
      <c r="P432" s="326"/>
      <c r="Q432" s="326"/>
      <c r="R432" s="326"/>
      <c r="S432" s="326"/>
      <c r="T432" s="326"/>
      <c r="U432" s="326"/>
      <c r="V432" s="326"/>
      <c r="W432" s="326"/>
      <c r="X432" s="326"/>
    </row>
    <row r="433" spans="12:24" ht="15.75" customHeight="1">
      <c r="L433" s="326"/>
      <c r="M433" s="326"/>
      <c r="N433" s="326"/>
      <c r="O433" s="326"/>
      <c r="P433" s="326"/>
      <c r="Q433" s="326"/>
      <c r="R433" s="326"/>
      <c r="S433" s="326"/>
      <c r="T433" s="326"/>
      <c r="U433" s="326"/>
      <c r="V433" s="326"/>
      <c r="W433" s="326"/>
      <c r="X433" s="326"/>
    </row>
    <row r="434" spans="12:24" ht="15.75" customHeight="1">
      <c r="L434" s="326"/>
      <c r="M434" s="326"/>
      <c r="N434" s="326"/>
      <c r="O434" s="326"/>
      <c r="P434" s="326"/>
      <c r="Q434" s="326"/>
      <c r="R434" s="326"/>
      <c r="S434" s="326"/>
      <c r="T434" s="326"/>
      <c r="U434" s="326"/>
      <c r="V434" s="326"/>
      <c r="W434" s="326"/>
      <c r="X434" s="326"/>
    </row>
    <row r="435" spans="12:24" ht="15.75" customHeight="1">
      <c r="L435" s="326"/>
      <c r="M435" s="326"/>
      <c r="N435" s="326"/>
      <c r="O435" s="326"/>
      <c r="P435" s="326"/>
      <c r="Q435" s="326"/>
      <c r="R435" s="326"/>
      <c r="S435" s="326"/>
      <c r="T435" s="326"/>
      <c r="U435" s="326"/>
      <c r="V435" s="326"/>
      <c r="W435" s="326"/>
      <c r="X435" s="326"/>
    </row>
    <row r="436" spans="12:24" ht="15.75" customHeight="1">
      <c r="L436" s="326"/>
      <c r="M436" s="326"/>
      <c r="N436" s="326"/>
      <c r="O436" s="326"/>
      <c r="P436" s="326"/>
      <c r="Q436" s="326"/>
      <c r="R436" s="326"/>
      <c r="S436" s="326"/>
      <c r="T436" s="326"/>
      <c r="U436" s="326"/>
      <c r="V436" s="326"/>
      <c r="W436" s="326"/>
      <c r="X436" s="326"/>
    </row>
    <row r="437" spans="12:24" ht="15.75" customHeight="1">
      <c r="L437" s="326"/>
      <c r="M437" s="326"/>
      <c r="N437" s="326"/>
      <c r="O437" s="326"/>
      <c r="P437" s="326"/>
      <c r="Q437" s="326"/>
      <c r="R437" s="326"/>
      <c r="S437" s="326"/>
      <c r="T437" s="326"/>
      <c r="U437" s="326"/>
      <c r="V437" s="326"/>
      <c r="W437" s="326"/>
      <c r="X437" s="326"/>
    </row>
    <row r="438" spans="12:24" ht="15.75" customHeight="1">
      <c r="L438" s="326"/>
      <c r="M438" s="326"/>
      <c r="N438" s="326"/>
      <c r="O438" s="326"/>
      <c r="P438" s="326"/>
      <c r="Q438" s="326"/>
      <c r="R438" s="326"/>
      <c r="S438" s="326"/>
      <c r="T438" s="326"/>
      <c r="U438" s="326"/>
      <c r="V438" s="326"/>
      <c r="W438" s="326"/>
      <c r="X438" s="326"/>
    </row>
    <row r="439" spans="12:24" ht="15.75" customHeight="1">
      <c r="L439" s="326"/>
      <c r="M439" s="326"/>
      <c r="N439" s="326"/>
      <c r="O439" s="326"/>
      <c r="P439" s="326"/>
      <c r="Q439" s="326"/>
      <c r="R439" s="326"/>
      <c r="S439" s="326"/>
      <c r="T439" s="326"/>
      <c r="U439" s="326"/>
      <c r="V439" s="326"/>
      <c r="W439" s="326"/>
      <c r="X439" s="326"/>
    </row>
    <row r="440" spans="12:24" ht="15.75" customHeight="1">
      <c r="L440" s="326"/>
      <c r="M440" s="326"/>
      <c r="N440" s="326"/>
      <c r="O440" s="326"/>
      <c r="P440" s="326"/>
      <c r="Q440" s="326"/>
      <c r="R440" s="326"/>
      <c r="S440" s="326"/>
      <c r="T440" s="326"/>
      <c r="U440" s="326"/>
      <c r="V440" s="326"/>
      <c r="W440" s="326"/>
      <c r="X440" s="326"/>
    </row>
    <row r="441" spans="12:24" ht="15.75" customHeight="1">
      <c r="L441" s="326"/>
      <c r="M441" s="326"/>
      <c r="N441" s="326"/>
      <c r="O441" s="326"/>
      <c r="P441" s="326"/>
      <c r="Q441" s="326"/>
      <c r="R441" s="326"/>
      <c r="S441" s="326"/>
      <c r="T441" s="326"/>
      <c r="U441" s="326"/>
      <c r="V441" s="326"/>
      <c r="W441" s="326"/>
      <c r="X441" s="326"/>
    </row>
    <row r="442" spans="12:24" ht="15.75" customHeight="1">
      <c r="L442" s="326"/>
      <c r="M442" s="326"/>
      <c r="N442" s="326"/>
      <c r="O442" s="326"/>
      <c r="P442" s="326"/>
      <c r="Q442" s="326"/>
      <c r="R442" s="326"/>
      <c r="S442" s="326"/>
      <c r="T442" s="326"/>
      <c r="U442" s="326"/>
      <c r="V442" s="326"/>
      <c r="W442" s="326"/>
      <c r="X442" s="326"/>
    </row>
    <row r="443" spans="12:24" ht="15.75" customHeight="1">
      <c r="L443" s="326"/>
      <c r="M443" s="326"/>
      <c r="N443" s="326"/>
      <c r="O443" s="326"/>
      <c r="P443" s="326"/>
      <c r="Q443" s="326"/>
      <c r="R443" s="326"/>
      <c r="S443" s="326"/>
      <c r="T443" s="326"/>
      <c r="U443" s="326"/>
      <c r="V443" s="326"/>
      <c r="W443" s="326"/>
      <c r="X443" s="326"/>
    </row>
    <row r="444" spans="12:24" ht="15.75" customHeight="1">
      <c r="L444" s="326"/>
      <c r="M444" s="326"/>
      <c r="N444" s="326"/>
      <c r="O444" s="326"/>
      <c r="P444" s="326"/>
      <c r="Q444" s="326"/>
      <c r="R444" s="326"/>
      <c r="S444" s="326"/>
      <c r="T444" s="326"/>
      <c r="U444" s="326"/>
      <c r="V444" s="326"/>
      <c r="W444" s="326"/>
      <c r="X444" s="326"/>
    </row>
    <row r="445" spans="12:24" ht="15.75" customHeight="1">
      <c r="L445" s="326"/>
      <c r="M445" s="326"/>
      <c r="N445" s="326"/>
      <c r="O445" s="326"/>
      <c r="P445" s="326"/>
      <c r="Q445" s="326"/>
      <c r="R445" s="326"/>
      <c r="S445" s="326"/>
      <c r="T445" s="326"/>
      <c r="U445" s="326"/>
      <c r="V445" s="326"/>
      <c r="W445" s="326"/>
      <c r="X445" s="326"/>
    </row>
    <row r="446" spans="12:24" ht="15.75" customHeight="1">
      <c r="L446" s="326"/>
      <c r="M446" s="326"/>
      <c r="N446" s="326"/>
      <c r="O446" s="326"/>
      <c r="P446" s="326"/>
      <c r="Q446" s="326"/>
      <c r="R446" s="326"/>
      <c r="S446" s="326"/>
      <c r="T446" s="326"/>
      <c r="U446" s="326"/>
      <c r="V446" s="326"/>
      <c r="W446" s="326"/>
      <c r="X446" s="326"/>
    </row>
    <row r="447" spans="12:24" ht="15.75" customHeight="1">
      <c r="L447" s="326"/>
      <c r="M447" s="326"/>
      <c r="N447" s="326"/>
      <c r="O447" s="326"/>
      <c r="P447" s="326"/>
      <c r="Q447" s="326"/>
      <c r="R447" s="326"/>
      <c r="S447" s="326"/>
      <c r="T447" s="326"/>
      <c r="U447" s="326"/>
      <c r="V447" s="326"/>
      <c r="W447" s="326"/>
      <c r="X447" s="326"/>
    </row>
    <row r="448" spans="12:24" ht="15.75" customHeight="1">
      <c r="L448" s="326"/>
      <c r="M448" s="326"/>
      <c r="N448" s="326"/>
      <c r="O448" s="326"/>
      <c r="P448" s="326"/>
      <c r="Q448" s="326"/>
      <c r="R448" s="326"/>
      <c r="S448" s="326"/>
      <c r="T448" s="326"/>
      <c r="U448" s="326"/>
      <c r="V448" s="326"/>
      <c r="W448" s="326"/>
      <c r="X448" s="326"/>
    </row>
    <row r="449" spans="12:24" ht="15.75" customHeight="1">
      <c r="L449" s="326"/>
      <c r="M449" s="326"/>
      <c r="N449" s="326"/>
      <c r="O449" s="326"/>
      <c r="P449" s="326"/>
      <c r="Q449" s="326"/>
      <c r="R449" s="326"/>
      <c r="S449" s="326"/>
      <c r="T449" s="326"/>
      <c r="U449" s="326"/>
      <c r="V449" s="326"/>
      <c r="W449" s="326"/>
      <c r="X449" s="326"/>
    </row>
    <row r="450" spans="12:24" ht="15.75" customHeight="1">
      <c r="L450" s="326"/>
      <c r="M450" s="326"/>
      <c r="N450" s="326"/>
      <c r="O450" s="326"/>
      <c r="P450" s="326"/>
      <c r="Q450" s="326"/>
      <c r="R450" s="326"/>
      <c r="S450" s="326"/>
      <c r="T450" s="326"/>
      <c r="U450" s="326"/>
      <c r="V450" s="326"/>
      <c r="W450" s="326"/>
      <c r="X450" s="326"/>
    </row>
    <row r="451" spans="12:24" ht="15.75" customHeight="1">
      <c r="L451" s="326"/>
      <c r="M451" s="326"/>
      <c r="N451" s="326"/>
      <c r="O451" s="326"/>
      <c r="P451" s="326"/>
      <c r="Q451" s="326"/>
      <c r="R451" s="326"/>
      <c r="S451" s="326"/>
      <c r="T451" s="326"/>
      <c r="U451" s="326"/>
      <c r="V451" s="326"/>
      <c r="W451" s="326"/>
      <c r="X451" s="326"/>
    </row>
    <row r="452" spans="12:24" ht="15.75" customHeight="1">
      <c r="L452" s="326"/>
      <c r="M452" s="326"/>
      <c r="N452" s="326"/>
      <c r="O452" s="326"/>
      <c r="P452" s="326"/>
      <c r="Q452" s="326"/>
      <c r="R452" s="326"/>
      <c r="S452" s="326"/>
      <c r="T452" s="326"/>
      <c r="U452" s="326"/>
      <c r="V452" s="326"/>
      <c r="W452" s="326"/>
      <c r="X452" s="326"/>
    </row>
    <row r="453" spans="12:24" ht="15.75" customHeight="1">
      <c r="L453" s="326"/>
      <c r="M453" s="326"/>
      <c r="N453" s="326"/>
      <c r="O453" s="326"/>
      <c r="P453" s="326"/>
      <c r="Q453" s="326"/>
      <c r="R453" s="326"/>
      <c r="S453" s="326"/>
      <c r="T453" s="326"/>
      <c r="U453" s="326"/>
      <c r="V453" s="326"/>
      <c r="W453" s="326"/>
      <c r="X453" s="326"/>
    </row>
    <row r="454" spans="12:24" ht="15.75" customHeight="1">
      <c r="L454" s="326"/>
      <c r="M454" s="326"/>
      <c r="N454" s="326"/>
      <c r="O454" s="326"/>
      <c r="P454" s="326"/>
      <c r="Q454" s="326"/>
      <c r="R454" s="326"/>
      <c r="S454" s="326"/>
      <c r="T454" s="326"/>
      <c r="U454" s="326"/>
      <c r="V454" s="326"/>
      <c r="W454" s="326"/>
      <c r="X454" s="326"/>
    </row>
    <row r="455" spans="12:24" ht="15.75" customHeight="1">
      <c r="L455" s="326"/>
      <c r="M455" s="326"/>
      <c r="N455" s="326"/>
      <c r="O455" s="326"/>
      <c r="P455" s="326"/>
      <c r="Q455" s="326"/>
      <c r="R455" s="326"/>
      <c r="S455" s="326"/>
      <c r="T455" s="326"/>
      <c r="U455" s="326"/>
      <c r="V455" s="326"/>
      <c r="W455" s="326"/>
      <c r="X455" s="326"/>
    </row>
    <row r="456" spans="12:24" ht="15.75" customHeight="1">
      <c r="L456" s="326"/>
      <c r="M456" s="326"/>
      <c r="N456" s="326"/>
      <c r="O456" s="326"/>
      <c r="P456" s="326"/>
      <c r="Q456" s="326"/>
      <c r="R456" s="326"/>
      <c r="S456" s="326"/>
      <c r="T456" s="326"/>
      <c r="U456" s="326"/>
      <c r="V456" s="326"/>
      <c r="W456" s="326"/>
      <c r="X456" s="326"/>
    </row>
    <row r="457" spans="12:24" ht="15.75" customHeight="1">
      <c r="L457" s="326"/>
      <c r="M457" s="326"/>
      <c r="N457" s="326"/>
      <c r="O457" s="326"/>
      <c r="P457" s="326"/>
      <c r="Q457" s="326"/>
      <c r="R457" s="326"/>
      <c r="S457" s="326"/>
      <c r="T457" s="326"/>
      <c r="U457" s="326"/>
      <c r="V457" s="326"/>
      <c r="W457" s="326"/>
      <c r="X457" s="326"/>
    </row>
    <row r="458" spans="12:24" ht="15.75" customHeight="1">
      <c r="L458" s="326"/>
      <c r="M458" s="326"/>
      <c r="N458" s="326"/>
      <c r="O458" s="326"/>
      <c r="P458" s="326"/>
      <c r="Q458" s="326"/>
      <c r="R458" s="326"/>
      <c r="S458" s="326"/>
      <c r="T458" s="326"/>
      <c r="U458" s="326"/>
      <c r="V458" s="326"/>
      <c r="W458" s="326"/>
      <c r="X458" s="326"/>
    </row>
    <row r="459" spans="12:24" ht="15.75" customHeight="1">
      <c r="L459" s="326"/>
      <c r="M459" s="326"/>
      <c r="N459" s="326"/>
      <c r="O459" s="326"/>
      <c r="P459" s="326"/>
      <c r="Q459" s="326"/>
      <c r="R459" s="326"/>
      <c r="S459" s="326"/>
      <c r="T459" s="326"/>
      <c r="U459" s="326"/>
      <c r="V459" s="326"/>
      <c r="W459" s="326"/>
      <c r="X459" s="326"/>
    </row>
    <row r="460" spans="12:24" ht="15.75" customHeight="1">
      <c r="L460" s="326"/>
      <c r="M460" s="326"/>
      <c r="N460" s="326"/>
      <c r="O460" s="326"/>
      <c r="P460" s="326"/>
      <c r="Q460" s="326"/>
      <c r="R460" s="326"/>
      <c r="S460" s="326"/>
      <c r="T460" s="326"/>
      <c r="U460" s="326"/>
      <c r="V460" s="326"/>
      <c r="W460" s="326"/>
      <c r="X460" s="326"/>
    </row>
    <row r="461" spans="12:24" ht="15.75" customHeight="1">
      <c r="L461" s="326"/>
      <c r="M461" s="326"/>
      <c r="N461" s="326"/>
      <c r="O461" s="326"/>
      <c r="P461" s="326"/>
      <c r="Q461" s="326"/>
      <c r="R461" s="326"/>
      <c r="S461" s="326"/>
      <c r="T461" s="326"/>
      <c r="U461" s="326"/>
      <c r="V461" s="326"/>
      <c r="W461" s="326"/>
      <c r="X461" s="326"/>
    </row>
    <row r="462" spans="12:24" ht="15.75" customHeight="1">
      <c r="L462" s="326"/>
      <c r="M462" s="326"/>
      <c r="N462" s="326"/>
      <c r="O462" s="326"/>
      <c r="P462" s="326"/>
      <c r="Q462" s="326"/>
      <c r="R462" s="326"/>
      <c r="S462" s="326"/>
      <c r="T462" s="326"/>
      <c r="U462" s="326"/>
      <c r="V462" s="326"/>
      <c r="W462" s="326"/>
      <c r="X462" s="326"/>
    </row>
    <row r="463" spans="12:24" ht="15.75" customHeight="1">
      <c r="L463" s="326"/>
      <c r="M463" s="326"/>
      <c r="N463" s="326"/>
      <c r="O463" s="326"/>
      <c r="P463" s="326"/>
      <c r="Q463" s="326"/>
      <c r="R463" s="326"/>
      <c r="S463" s="326"/>
      <c r="T463" s="326"/>
      <c r="U463" s="326"/>
      <c r="V463" s="326"/>
      <c r="W463" s="326"/>
      <c r="X463" s="326"/>
    </row>
    <row r="464" spans="12:24" ht="15.75" customHeight="1">
      <c r="L464" s="326"/>
      <c r="M464" s="326"/>
      <c r="N464" s="326"/>
      <c r="O464" s="326"/>
      <c r="P464" s="326"/>
      <c r="Q464" s="326"/>
      <c r="R464" s="326"/>
      <c r="S464" s="326"/>
      <c r="T464" s="326"/>
      <c r="U464" s="326"/>
      <c r="V464" s="326"/>
      <c r="W464" s="326"/>
      <c r="X464" s="326"/>
    </row>
    <row r="465" spans="12:24" ht="15.75" customHeight="1">
      <c r="L465" s="326"/>
      <c r="M465" s="326"/>
      <c r="N465" s="326"/>
      <c r="O465" s="326"/>
      <c r="P465" s="326"/>
      <c r="Q465" s="326"/>
      <c r="R465" s="326"/>
      <c r="S465" s="326"/>
      <c r="T465" s="326"/>
      <c r="U465" s="326"/>
      <c r="V465" s="326"/>
      <c r="W465" s="326"/>
      <c r="X465" s="326"/>
    </row>
    <row r="466" spans="12:24" ht="15.75" customHeight="1">
      <c r="L466" s="326"/>
      <c r="M466" s="326"/>
      <c r="N466" s="326"/>
      <c r="O466" s="326"/>
      <c r="P466" s="326"/>
      <c r="Q466" s="326"/>
      <c r="R466" s="326"/>
      <c r="S466" s="326"/>
      <c r="T466" s="326"/>
      <c r="U466" s="326"/>
      <c r="V466" s="326"/>
      <c r="W466" s="326"/>
      <c r="X466" s="326"/>
    </row>
    <row r="467" spans="12:24" ht="15.75" customHeight="1">
      <c r="L467" s="326"/>
      <c r="M467" s="326"/>
      <c r="N467" s="326"/>
      <c r="O467" s="326"/>
      <c r="P467" s="326"/>
      <c r="Q467" s="326"/>
      <c r="R467" s="326"/>
      <c r="S467" s="326"/>
      <c r="T467" s="326"/>
      <c r="U467" s="326"/>
      <c r="V467" s="326"/>
      <c r="W467" s="326"/>
      <c r="X467" s="326"/>
    </row>
    <row r="468" spans="12:24" ht="15.75" customHeight="1">
      <c r="L468" s="326"/>
      <c r="M468" s="326"/>
      <c r="N468" s="326"/>
      <c r="O468" s="326"/>
      <c r="P468" s="326"/>
      <c r="Q468" s="326"/>
      <c r="R468" s="326"/>
      <c r="S468" s="326"/>
      <c r="T468" s="326"/>
      <c r="U468" s="326"/>
      <c r="V468" s="326"/>
      <c r="W468" s="326"/>
      <c r="X468" s="326"/>
    </row>
    <row r="469" spans="12:24" ht="15.75" customHeight="1">
      <c r="L469" s="326"/>
      <c r="M469" s="326"/>
      <c r="N469" s="326"/>
      <c r="O469" s="326"/>
      <c r="P469" s="326"/>
      <c r="Q469" s="326"/>
      <c r="R469" s="326"/>
      <c r="S469" s="326"/>
      <c r="T469" s="326"/>
      <c r="U469" s="326"/>
      <c r="V469" s="326"/>
      <c r="W469" s="326"/>
      <c r="X469" s="326"/>
    </row>
    <row r="470" spans="12:24" ht="15.75" customHeight="1">
      <c r="L470" s="326"/>
      <c r="M470" s="326"/>
      <c r="N470" s="326"/>
      <c r="O470" s="326"/>
      <c r="P470" s="326"/>
      <c r="Q470" s="326"/>
      <c r="R470" s="326"/>
      <c r="S470" s="326"/>
      <c r="T470" s="326"/>
      <c r="U470" s="326"/>
      <c r="V470" s="326"/>
      <c r="W470" s="326"/>
      <c r="X470" s="326"/>
    </row>
    <row r="471" spans="12:24" ht="15.75" customHeight="1">
      <c r="L471" s="326"/>
      <c r="M471" s="326"/>
      <c r="N471" s="326"/>
      <c r="O471" s="326"/>
      <c r="P471" s="326"/>
      <c r="Q471" s="326"/>
      <c r="R471" s="326"/>
      <c r="S471" s="326"/>
      <c r="T471" s="326"/>
      <c r="U471" s="326"/>
      <c r="V471" s="326"/>
      <c r="W471" s="326"/>
      <c r="X471" s="326"/>
    </row>
    <row r="472" spans="12:24" ht="15.75" customHeight="1">
      <c r="L472" s="326"/>
      <c r="M472" s="326"/>
      <c r="N472" s="326"/>
      <c r="O472" s="326"/>
      <c r="P472" s="326"/>
      <c r="Q472" s="326"/>
      <c r="R472" s="326"/>
      <c r="S472" s="326"/>
      <c r="T472" s="326"/>
      <c r="U472" s="326"/>
      <c r="V472" s="326"/>
      <c r="W472" s="326"/>
      <c r="X472" s="326"/>
    </row>
    <row r="473" spans="12:24" ht="15.75" customHeight="1">
      <c r="L473" s="326"/>
      <c r="M473" s="326"/>
      <c r="N473" s="326"/>
      <c r="O473" s="326"/>
      <c r="P473" s="326"/>
      <c r="Q473" s="326"/>
      <c r="R473" s="326"/>
      <c r="S473" s="326"/>
      <c r="T473" s="326"/>
      <c r="U473" s="326"/>
      <c r="V473" s="326"/>
      <c r="W473" s="326"/>
      <c r="X473" s="326"/>
    </row>
    <row r="474" spans="12:24" ht="15.75" customHeight="1">
      <c r="L474" s="326"/>
      <c r="M474" s="326"/>
      <c r="N474" s="326"/>
      <c r="O474" s="326"/>
      <c r="P474" s="326"/>
      <c r="Q474" s="326"/>
      <c r="R474" s="326"/>
      <c r="S474" s="326"/>
      <c r="T474" s="326"/>
      <c r="U474" s="326"/>
      <c r="V474" s="326"/>
      <c r="W474" s="326"/>
      <c r="X474" s="326"/>
    </row>
    <row r="475" spans="12:24" ht="15.75" customHeight="1">
      <c r="L475" s="326"/>
      <c r="M475" s="326"/>
      <c r="N475" s="326"/>
      <c r="O475" s="326"/>
      <c r="P475" s="326"/>
      <c r="Q475" s="326"/>
      <c r="R475" s="326"/>
      <c r="S475" s="326"/>
      <c r="T475" s="326"/>
      <c r="U475" s="326"/>
      <c r="V475" s="326"/>
      <c r="W475" s="326"/>
      <c r="X475" s="326"/>
    </row>
    <row r="476" spans="12:24" ht="15.75" customHeight="1">
      <c r="L476" s="326"/>
      <c r="M476" s="326"/>
      <c r="N476" s="326"/>
      <c r="O476" s="326"/>
      <c r="P476" s="326"/>
      <c r="Q476" s="326"/>
      <c r="R476" s="326"/>
      <c r="S476" s="326"/>
      <c r="T476" s="326"/>
      <c r="U476" s="326"/>
      <c r="V476" s="326"/>
      <c r="W476" s="326"/>
      <c r="X476" s="326"/>
    </row>
    <row r="477" spans="12:24" ht="15.75" customHeight="1">
      <c r="L477" s="326"/>
      <c r="M477" s="326"/>
      <c r="N477" s="326"/>
      <c r="O477" s="326"/>
      <c r="P477" s="326"/>
      <c r="Q477" s="326"/>
      <c r="R477" s="326"/>
      <c r="S477" s="326"/>
      <c r="T477" s="326"/>
      <c r="U477" s="326"/>
      <c r="V477" s="326"/>
      <c r="W477" s="326"/>
      <c r="X477" s="326"/>
    </row>
    <row r="478" spans="12:24" ht="15.75" customHeight="1">
      <c r="L478" s="326"/>
      <c r="M478" s="326"/>
      <c r="N478" s="326"/>
      <c r="O478" s="326"/>
      <c r="P478" s="326"/>
      <c r="Q478" s="326"/>
      <c r="R478" s="326"/>
      <c r="S478" s="326"/>
      <c r="T478" s="326"/>
      <c r="U478" s="326"/>
      <c r="V478" s="326"/>
      <c r="W478" s="326"/>
      <c r="X478" s="326"/>
    </row>
    <row r="479" spans="12:24" ht="15.75" customHeight="1">
      <c r="L479" s="326"/>
      <c r="M479" s="326"/>
      <c r="N479" s="326"/>
      <c r="O479" s="326"/>
      <c r="P479" s="326"/>
      <c r="Q479" s="326"/>
      <c r="R479" s="326"/>
      <c r="S479" s="326"/>
      <c r="T479" s="326"/>
      <c r="U479" s="326"/>
      <c r="V479" s="326"/>
      <c r="W479" s="326"/>
      <c r="X479" s="326"/>
    </row>
    <row r="480" spans="12:24" ht="15.75" customHeight="1">
      <c r="L480" s="326"/>
      <c r="M480" s="326"/>
      <c r="N480" s="326"/>
      <c r="O480" s="326"/>
      <c r="P480" s="326"/>
      <c r="Q480" s="326"/>
      <c r="R480" s="326"/>
      <c r="S480" s="326"/>
      <c r="T480" s="326"/>
      <c r="U480" s="326"/>
      <c r="V480" s="326"/>
      <c r="W480" s="326"/>
      <c r="X480" s="326"/>
    </row>
    <row r="481" spans="12:24" ht="15.75" customHeight="1">
      <c r="L481" s="326"/>
      <c r="M481" s="326"/>
      <c r="N481" s="326"/>
      <c r="O481" s="326"/>
      <c r="P481" s="326"/>
      <c r="Q481" s="326"/>
      <c r="R481" s="326"/>
      <c r="S481" s="326"/>
      <c r="T481" s="326"/>
      <c r="U481" s="326"/>
      <c r="V481" s="326"/>
      <c r="W481" s="326"/>
      <c r="X481" s="326"/>
    </row>
    <row r="482" spans="12:24" ht="15.75" customHeight="1">
      <c r="L482" s="326"/>
      <c r="M482" s="326"/>
      <c r="N482" s="326"/>
      <c r="O482" s="326"/>
      <c r="P482" s="326"/>
      <c r="Q482" s="326"/>
      <c r="R482" s="326"/>
      <c r="S482" s="326"/>
      <c r="T482" s="326"/>
      <c r="U482" s="326"/>
      <c r="V482" s="326"/>
      <c r="W482" s="326"/>
      <c r="X482" s="326"/>
    </row>
    <row r="483" spans="12:24" ht="15.75" customHeight="1">
      <c r="L483" s="326"/>
      <c r="M483" s="326"/>
      <c r="N483" s="326"/>
      <c r="O483" s="326"/>
      <c r="P483" s="326"/>
      <c r="Q483" s="326"/>
      <c r="R483" s="326"/>
      <c r="S483" s="326"/>
      <c r="T483" s="326"/>
      <c r="U483" s="326"/>
      <c r="V483" s="326"/>
      <c r="W483" s="326"/>
      <c r="X483" s="326"/>
    </row>
    <row r="484" spans="12:24" ht="15.75" customHeight="1">
      <c r="L484" s="326"/>
      <c r="M484" s="326"/>
      <c r="N484" s="326"/>
      <c r="O484" s="326"/>
      <c r="P484" s="326"/>
      <c r="Q484" s="326"/>
      <c r="R484" s="326"/>
      <c r="S484" s="326"/>
      <c r="T484" s="326"/>
      <c r="U484" s="326"/>
      <c r="V484" s="326"/>
      <c r="W484" s="326"/>
      <c r="X484" s="326"/>
    </row>
    <row r="485" spans="12:24" ht="15.75" customHeight="1">
      <c r="L485" s="326"/>
      <c r="M485" s="326"/>
      <c r="N485" s="326"/>
      <c r="O485" s="326"/>
      <c r="P485" s="326"/>
      <c r="Q485" s="326"/>
      <c r="R485" s="326"/>
      <c r="S485" s="326"/>
      <c r="T485" s="326"/>
      <c r="U485" s="326"/>
      <c r="V485" s="326"/>
      <c r="W485" s="326"/>
      <c r="X485" s="326"/>
    </row>
    <row r="486" spans="12:24" ht="15.75" customHeight="1">
      <c r="L486" s="326"/>
      <c r="M486" s="326"/>
      <c r="N486" s="326"/>
      <c r="O486" s="326"/>
      <c r="P486" s="326"/>
      <c r="Q486" s="326"/>
      <c r="R486" s="326"/>
      <c r="S486" s="326"/>
      <c r="T486" s="326"/>
      <c r="U486" s="326"/>
      <c r="V486" s="326"/>
      <c r="W486" s="326"/>
      <c r="X486" s="326"/>
    </row>
    <row r="487" spans="12:24" ht="15.75" customHeight="1">
      <c r="L487" s="326"/>
      <c r="M487" s="326"/>
      <c r="N487" s="326"/>
      <c r="O487" s="326"/>
      <c r="P487" s="326"/>
      <c r="Q487" s="326"/>
      <c r="R487" s="326"/>
      <c r="S487" s="326"/>
      <c r="T487" s="326"/>
      <c r="U487" s="326"/>
      <c r="V487" s="326"/>
      <c r="W487" s="326"/>
      <c r="X487" s="326"/>
    </row>
    <row r="488" spans="12:24" ht="15.75" customHeight="1">
      <c r="L488" s="326"/>
      <c r="M488" s="326"/>
      <c r="N488" s="326"/>
      <c r="O488" s="326"/>
      <c r="P488" s="326"/>
      <c r="Q488" s="326"/>
      <c r="R488" s="326"/>
      <c r="S488" s="326"/>
      <c r="T488" s="326"/>
      <c r="U488" s="326"/>
      <c r="V488" s="326"/>
      <c r="W488" s="326"/>
      <c r="X488" s="326"/>
    </row>
    <row r="489" spans="12:24" ht="15.75" customHeight="1">
      <c r="L489" s="326"/>
      <c r="M489" s="326"/>
      <c r="N489" s="326"/>
      <c r="O489" s="326"/>
      <c r="P489" s="326"/>
      <c r="Q489" s="326"/>
      <c r="R489" s="326"/>
      <c r="S489" s="326"/>
      <c r="T489" s="326"/>
      <c r="U489" s="326"/>
      <c r="V489" s="326"/>
      <c r="W489" s="326"/>
      <c r="X489" s="326"/>
    </row>
    <row r="490" spans="12:24" ht="15.75" customHeight="1">
      <c r="L490" s="326"/>
      <c r="M490" s="326"/>
      <c r="N490" s="326"/>
      <c r="O490" s="326"/>
      <c r="P490" s="326"/>
      <c r="Q490" s="326"/>
      <c r="R490" s="326"/>
      <c r="S490" s="326"/>
      <c r="T490" s="326"/>
      <c r="U490" s="326"/>
      <c r="V490" s="326"/>
      <c r="W490" s="326"/>
      <c r="X490" s="326"/>
    </row>
    <row r="491" spans="12:24" ht="15.75" customHeight="1">
      <c r="L491" s="326"/>
      <c r="M491" s="326"/>
      <c r="N491" s="326"/>
      <c r="O491" s="326"/>
      <c r="P491" s="326"/>
      <c r="Q491" s="326"/>
      <c r="R491" s="326"/>
      <c r="S491" s="326"/>
      <c r="T491" s="326"/>
      <c r="U491" s="326"/>
      <c r="V491" s="326"/>
      <c r="W491" s="326"/>
      <c r="X491" s="326"/>
    </row>
    <row r="492" spans="12:24" ht="15.75" customHeight="1">
      <c r="L492" s="326"/>
      <c r="M492" s="326"/>
      <c r="N492" s="326"/>
      <c r="O492" s="326"/>
      <c r="P492" s="326"/>
      <c r="Q492" s="326"/>
      <c r="R492" s="326"/>
      <c r="S492" s="326"/>
      <c r="T492" s="326"/>
      <c r="U492" s="326"/>
      <c r="V492" s="326"/>
      <c r="W492" s="326"/>
      <c r="X492" s="326"/>
    </row>
    <row r="493" spans="12:24" ht="15.75" customHeight="1">
      <c r="L493" s="326"/>
      <c r="M493" s="326"/>
      <c r="N493" s="326"/>
      <c r="O493" s="326"/>
      <c r="P493" s="326"/>
      <c r="Q493" s="326"/>
      <c r="R493" s="326"/>
      <c r="S493" s="326"/>
      <c r="T493" s="326"/>
      <c r="U493" s="326"/>
      <c r="V493" s="326"/>
      <c r="W493" s="326"/>
      <c r="X493" s="326"/>
    </row>
    <row r="494" spans="12:24" ht="15.75" customHeight="1">
      <c r="L494" s="326"/>
      <c r="M494" s="326"/>
      <c r="N494" s="326"/>
      <c r="O494" s="326"/>
      <c r="P494" s="326"/>
      <c r="Q494" s="326"/>
      <c r="R494" s="326"/>
      <c r="S494" s="326"/>
      <c r="T494" s="326"/>
      <c r="U494" s="326"/>
      <c r="V494" s="326"/>
      <c r="W494" s="326"/>
      <c r="X494" s="326"/>
    </row>
    <row r="495" spans="12:24" ht="15.75" customHeight="1">
      <c r="L495" s="326"/>
      <c r="M495" s="326"/>
      <c r="N495" s="326"/>
      <c r="O495" s="326"/>
      <c r="P495" s="326"/>
      <c r="Q495" s="326"/>
      <c r="R495" s="326"/>
      <c r="S495" s="326"/>
      <c r="T495" s="326"/>
      <c r="U495" s="326"/>
      <c r="V495" s="326"/>
      <c r="W495" s="326"/>
      <c r="X495" s="326"/>
    </row>
    <row r="496" spans="12:24" ht="15.75" customHeight="1">
      <c r="L496" s="326"/>
      <c r="M496" s="326"/>
      <c r="N496" s="326"/>
      <c r="O496" s="326"/>
      <c r="P496" s="326"/>
      <c r="Q496" s="326"/>
      <c r="R496" s="326"/>
      <c r="S496" s="326"/>
      <c r="T496" s="326"/>
      <c r="U496" s="326"/>
      <c r="V496" s="326"/>
      <c r="W496" s="326"/>
      <c r="X496" s="326"/>
    </row>
    <row r="497" spans="12:24" ht="15.75" customHeight="1">
      <c r="L497" s="326"/>
      <c r="M497" s="326"/>
      <c r="N497" s="326"/>
      <c r="O497" s="326"/>
      <c r="P497" s="326"/>
      <c r="Q497" s="326"/>
      <c r="R497" s="326"/>
      <c r="S497" s="326"/>
      <c r="T497" s="326"/>
      <c r="U497" s="326"/>
      <c r="V497" s="326"/>
      <c r="W497" s="326"/>
      <c r="X497" s="326"/>
    </row>
    <row r="498" spans="12:24" ht="15.75" customHeight="1">
      <c r="L498" s="326"/>
      <c r="M498" s="326"/>
      <c r="N498" s="326"/>
      <c r="O498" s="326"/>
      <c r="P498" s="326"/>
      <c r="Q498" s="326"/>
      <c r="R498" s="326"/>
      <c r="S498" s="326"/>
      <c r="T498" s="326"/>
      <c r="U498" s="326"/>
      <c r="V498" s="326"/>
      <c r="W498" s="326"/>
      <c r="X498" s="326"/>
    </row>
    <row r="499" spans="12:24" ht="15.75" customHeight="1">
      <c r="L499" s="326"/>
      <c r="M499" s="326"/>
      <c r="N499" s="326"/>
      <c r="O499" s="326"/>
      <c r="P499" s="326"/>
      <c r="Q499" s="326"/>
      <c r="R499" s="326"/>
      <c r="S499" s="326"/>
      <c r="T499" s="326"/>
      <c r="U499" s="326"/>
      <c r="V499" s="326"/>
      <c r="W499" s="326"/>
      <c r="X499" s="326"/>
    </row>
    <row r="500" spans="12:24" ht="15.75" customHeight="1">
      <c r="L500" s="326"/>
      <c r="M500" s="326"/>
      <c r="N500" s="326"/>
      <c r="O500" s="326"/>
      <c r="P500" s="326"/>
      <c r="Q500" s="326"/>
      <c r="R500" s="326"/>
      <c r="S500" s="326"/>
      <c r="T500" s="326"/>
      <c r="U500" s="326"/>
      <c r="V500" s="326"/>
      <c r="W500" s="326"/>
      <c r="X500" s="326"/>
    </row>
    <row r="501" spans="12:24" ht="15.75" customHeight="1">
      <c r="L501" s="326"/>
      <c r="M501" s="326"/>
      <c r="N501" s="326"/>
      <c r="O501" s="326"/>
      <c r="P501" s="326"/>
      <c r="Q501" s="326"/>
      <c r="R501" s="326"/>
      <c r="S501" s="326"/>
      <c r="T501" s="326"/>
      <c r="U501" s="326"/>
      <c r="V501" s="326"/>
      <c r="W501" s="326"/>
      <c r="X501" s="326"/>
    </row>
    <row r="502" spans="12:24" ht="15.75" customHeight="1">
      <c r="L502" s="326"/>
      <c r="M502" s="326"/>
      <c r="N502" s="326"/>
      <c r="O502" s="326"/>
      <c r="P502" s="326"/>
      <c r="Q502" s="326"/>
      <c r="R502" s="326"/>
      <c r="S502" s="326"/>
      <c r="T502" s="326"/>
      <c r="U502" s="326"/>
      <c r="V502" s="326"/>
      <c r="W502" s="326"/>
      <c r="X502" s="326"/>
    </row>
    <row r="503" spans="12:24" ht="15.75" customHeight="1">
      <c r="L503" s="326"/>
      <c r="M503" s="326"/>
      <c r="N503" s="326"/>
      <c r="O503" s="326"/>
      <c r="P503" s="326"/>
      <c r="Q503" s="326"/>
      <c r="R503" s="326"/>
      <c r="S503" s="326"/>
      <c r="T503" s="326"/>
      <c r="U503" s="326"/>
      <c r="V503" s="326"/>
      <c r="W503" s="326"/>
      <c r="X503" s="326"/>
    </row>
    <row r="504" spans="12:24" ht="15.75" customHeight="1">
      <c r="L504" s="326"/>
      <c r="M504" s="326"/>
      <c r="N504" s="326"/>
      <c r="O504" s="326"/>
      <c r="P504" s="326"/>
      <c r="Q504" s="326"/>
      <c r="R504" s="326"/>
      <c r="S504" s="326"/>
      <c r="T504" s="326"/>
      <c r="U504" s="326"/>
      <c r="V504" s="326"/>
      <c r="W504" s="326"/>
      <c r="X504" s="326"/>
    </row>
    <row r="505" spans="12:24" ht="15.75" customHeight="1">
      <c r="L505" s="326"/>
      <c r="M505" s="326"/>
      <c r="N505" s="326"/>
      <c r="O505" s="326"/>
      <c r="P505" s="326"/>
      <c r="Q505" s="326"/>
      <c r="R505" s="326"/>
      <c r="S505" s="326"/>
      <c r="T505" s="326"/>
      <c r="U505" s="326"/>
      <c r="V505" s="326"/>
      <c r="W505" s="326"/>
      <c r="X505" s="326"/>
    </row>
    <row r="506" spans="12:24" ht="15.75" customHeight="1">
      <c r="L506" s="326"/>
      <c r="M506" s="326"/>
      <c r="N506" s="326"/>
      <c r="O506" s="326"/>
      <c r="P506" s="326"/>
      <c r="Q506" s="326"/>
      <c r="R506" s="326"/>
      <c r="S506" s="326"/>
      <c r="T506" s="326"/>
      <c r="U506" s="326"/>
      <c r="V506" s="326"/>
      <c r="W506" s="326"/>
      <c r="X506" s="326"/>
    </row>
    <row r="507" spans="12:24" ht="15.75" customHeight="1">
      <c r="L507" s="326"/>
      <c r="M507" s="326"/>
      <c r="N507" s="326"/>
      <c r="O507" s="326"/>
      <c r="P507" s="326"/>
      <c r="Q507" s="326"/>
      <c r="R507" s="326"/>
      <c r="S507" s="326"/>
      <c r="T507" s="326"/>
      <c r="U507" s="326"/>
      <c r="V507" s="326"/>
      <c r="W507" s="326"/>
      <c r="X507" s="326"/>
    </row>
    <row r="508" spans="12:24" ht="15.75" customHeight="1">
      <c r="L508" s="326"/>
      <c r="M508" s="326"/>
      <c r="N508" s="326"/>
      <c r="O508" s="326"/>
      <c r="P508" s="326"/>
      <c r="Q508" s="326"/>
      <c r="R508" s="326"/>
      <c r="S508" s="326"/>
      <c r="T508" s="326"/>
      <c r="U508" s="326"/>
      <c r="V508" s="326"/>
      <c r="W508" s="326"/>
      <c r="X508" s="326"/>
    </row>
    <row r="509" spans="12:24" ht="15.75" customHeight="1">
      <c r="L509" s="326"/>
      <c r="M509" s="326"/>
      <c r="N509" s="326"/>
      <c r="O509" s="326"/>
      <c r="P509" s="326"/>
      <c r="Q509" s="326"/>
      <c r="R509" s="326"/>
      <c r="S509" s="326"/>
      <c r="T509" s="326"/>
      <c r="U509" s="326"/>
      <c r="V509" s="326"/>
      <c r="W509" s="326"/>
      <c r="X509" s="326"/>
    </row>
    <row r="510" spans="12:24" ht="15.75" customHeight="1">
      <c r="L510" s="326"/>
      <c r="M510" s="326"/>
      <c r="N510" s="326"/>
      <c r="O510" s="326"/>
      <c r="P510" s="326"/>
      <c r="Q510" s="326"/>
      <c r="R510" s="326"/>
      <c r="S510" s="326"/>
      <c r="T510" s="326"/>
      <c r="U510" s="326"/>
      <c r="V510" s="326"/>
      <c r="W510" s="326"/>
      <c r="X510" s="326"/>
    </row>
    <row r="511" spans="12:24" ht="15.75" customHeight="1">
      <c r="L511" s="326"/>
      <c r="M511" s="326"/>
      <c r="N511" s="326"/>
      <c r="O511" s="326"/>
      <c r="P511" s="326"/>
      <c r="Q511" s="326"/>
      <c r="R511" s="326"/>
      <c r="S511" s="326"/>
      <c r="T511" s="326"/>
      <c r="U511" s="326"/>
      <c r="V511" s="326"/>
      <c r="W511" s="326"/>
      <c r="X511" s="326"/>
    </row>
    <row r="512" spans="12:24" ht="15.75" customHeight="1">
      <c r="L512" s="326"/>
      <c r="M512" s="326"/>
      <c r="N512" s="326"/>
      <c r="O512" s="326"/>
      <c r="P512" s="326"/>
      <c r="Q512" s="326"/>
      <c r="R512" s="326"/>
      <c r="S512" s="326"/>
      <c r="T512" s="326"/>
      <c r="U512" s="326"/>
      <c r="V512" s="326"/>
      <c r="W512" s="326"/>
      <c r="X512" s="326"/>
    </row>
    <row r="513" spans="12:24" ht="15.75" customHeight="1">
      <c r="L513" s="326"/>
      <c r="M513" s="326"/>
      <c r="N513" s="326"/>
      <c r="O513" s="326"/>
      <c r="P513" s="326"/>
      <c r="Q513" s="326"/>
      <c r="R513" s="326"/>
      <c r="S513" s="326"/>
      <c r="T513" s="326"/>
      <c r="U513" s="326"/>
      <c r="V513" s="326"/>
      <c r="W513" s="326"/>
      <c r="X513" s="326"/>
    </row>
    <row r="514" spans="12:24" ht="15.75" customHeight="1">
      <c r="L514" s="326"/>
      <c r="M514" s="326"/>
      <c r="N514" s="326"/>
      <c r="O514" s="326"/>
      <c r="P514" s="326"/>
      <c r="Q514" s="326"/>
      <c r="R514" s="326"/>
      <c r="S514" s="326"/>
      <c r="T514" s="326"/>
      <c r="U514" s="326"/>
      <c r="V514" s="326"/>
      <c r="W514" s="326"/>
      <c r="X514" s="326"/>
    </row>
    <row r="515" spans="12:24" ht="15.75" customHeight="1">
      <c r="L515" s="326"/>
      <c r="M515" s="326"/>
      <c r="N515" s="326"/>
      <c r="O515" s="326"/>
      <c r="P515" s="326"/>
      <c r="Q515" s="326"/>
      <c r="R515" s="326"/>
      <c r="S515" s="326"/>
      <c r="T515" s="326"/>
      <c r="U515" s="326"/>
      <c r="V515" s="326"/>
      <c r="W515" s="326"/>
      <c r="X515" s="326"/>
    </row>
    <row r="516" spans="12:24" ht="15.75" customHeight="1">
      <c r="L516" s="326"/>
      <c r="M516" s="326"/>
      <c r="N516" s="326"/>
      <c r="O516" s="326"/>
      <c r="P516" s="326"/>
      <c r="Q516" s="326"/>
      <c r="R516" s="326"/>
      <c r="S516" s="326"/>
      <c r="T516" s="326"/>
      <c r="U516" s="326"/>
      <c r="V516" s="326"/>
      <c r="W516" s="326"/>
      <c r="X516" s="326"/>
    </row>
    <row r="517" spans="12:24" ht="15.75" customHeight="1">
      <c r="L517" s="326"/>
      <c r="M517" s="326"/>
      <c r="N517" s="326"/>
      <c r="O517" s="326"/>
      <c r="P517" s="326"/>
      <c r="Q517" s="326"/>
      <c r="R517" s="326"/>
      <c r="S517" s="326"/>
      <c r="T517" s="326"/>
      <c r="U517" s="326"/>
      <c r="V517" s="326"/>
      <c r="W517" s="326"/>
      <c r="X517" s="326"/>
    </row>
    <row r="518" spans="12:24" ht="15.75" customHeight="1">
      <c r="L518" s="326"/>
      <c r="M518" s="326"/>
      <c r="N518" s="326"/>
      <c r="O518" s="326"/>
      <c r="P518" s="326"/>
      <c r="Q518" s="326"/>
      <c r="R518" s="326"/>
      <c r="S518" s="326"/>
      <c r="T518" s="326"/>
      <c r="U518" s="326"/>
      <c r="V518" s="326"/>
      <c r="W518" s="326"/>
      <c r="X518" s="326"/>
    </row>
    <row r="519" spans="12:24" ht="15.75" customHeight="1">
      <c r="L519" s="326"/>
      <c r="M519" s="326"/>
      <c r="N519" s="326"/>
      <c r="O519" s="326"/>
      <c r="P519" s="326"/>
      <c r="Q519" s="326"/>
      <c r="R519" s="326"/>
      <c r="S519" s="326"/>
      <c r="T519" s="326"/>
      <c r="U519" s="326"/>
      <c r="V519" s="326"/>
      <c r="W519" s="326"/>
      <c r="X519" s="326"/>
    </row>
    <row r="520" spans="12:24" ht="15.75" customHeight="1">
      <c r="L520" s="326"/>
      <c r="M520" s="326"/>
      <c r="N520" s="326"/>
      <c r="O520" s="326"/>
      <c r="P520" s="326"/>
      <c r="Q520" s="326"/>
      <c r="R520" s="326"/>
      <c r="S520" s="326"/>
      <c r="T520" s="326"/>
      <c r="U520" s="326"/>
      <c r="V520" s="326"/>
      <c r="W520" s="326"/>
      <c r="X520" s="326"/>
    </row>
    <row r="521" spans="12:24" ht="15.75" customHeight="1">
      <c r="L521" s="326"/>
      <c r="M521" s="326"/>
      <c r="N521" s="326"/>
      <c r="O521" s="326"/>
      <c r="P521" s="326"/>
      <c r="Q521" s="326"/>
      <c r="R521" s="326"/>
      <c r="S521" s="326"/>
      <c r="T521" s="326"/>
      <c r="U521" s="326"/>
      <c r="V521" s="326"/>
      <c r="W521" s="326"/>
      <c r="X521" s="326"/>
    </row>
    <row r="522" spans="12:24" ht="15.75" customHeight="1">
      <c r="L522" s="326"/>
      <c r="M522" s="326"/>
      <c r="N522" s="326"/>
      <c r="O522" s="326"/>
      <c r="P522" s="326"/>
      <c r="Q522" s="326"/>
      <c r="R522" s="326"/>
      <c r="S522" s="326"/>
      <c r="T522" s="326"/>
      <c r="U522" s="326"/>
      <c r="V522" s="326"/>
      <c r="W522" s="326"/>
      <c r="X522" s="326"/>
    </row>
    <row r="523" spans="12:24" ht="15.75" customHeight="1">
      <c r="L523" s="326"/>
      <c r="M523" s="326"/>
      <c r="N523" s="326"/>
      <c r="O523" s="326"/>
      <c r="P523" s="326"/>
      <c r="Q523" s="326"/>
      <c r="R523" s="326"/>
      <c r="S523" s="326"/>
      <c r="T523" s="326"/>
      <c r="U523" s="326"/>
      <c r="V523" s="326"/>
      <c r="W523" s="326"/>
      <c r="X523" s="326"/>
    </row>
    <row r="524" spans="12:24" ht="15.75" customHeight="1">
      <c r="L524" s="326"/>
      <c r="M524" s="326"/>
      <c r="N524" s="326"/>
      <c r="O524" s="326"/>
      <c r="P524" s="326"/>
      <c r="Q524" s="326"/>
      <c r="R524" s="326"/>
      <c r="S524" s="326"/>
      <c r="T524" s="326"/>
      <c r="U524" s="326"/>
      <c r="V524" s="326"/>
      <c r="W524" s="326"/>
      <c r="X524" s="326"/>
    </row>
    <row r="525" spans="12:24" ht="15.75" customHeight="1">
      <c r="L525" s="326"/>
      <c r="M525" s="326"/>
      <c r="N525" s="326"/>
      <c r="O525" s="326"/>
      <c r="P525" s="326"/>
      <c r="Q525" s="326"/>
      <c r="R525" s="326"/>
      <c r="S525" s="326"/>
      <c r="T525" s="326"/>
      <c r="U525" s="326"/>
      <c r="V525" s="326"/>
      <c r="W525" s="326"/>
      <c r="X525" s="326"/>
    </row>
    <row r="526" spans="12:24" ht="15.75" customHeight="1">
      <c r="L526" s="326"/>
      <c r="M526" s="326"/>
      <c r="N526" s="326"/>
      <c r="O526" s="326"/>
      <c r="P526" s="326"/>
      <c r="Q526" s="326"/>
      <c r="R526" s="326"/>
      <c r="S526" s="326"/>
      <c r="T526" s="326"/>
      <c r="U526" s="326"/>
      <c r="V526" s="326"/>
      <c r="W526" s="326"/>
      <c r="X526" s="326"/>
    </row>
    <row r="527" spans="12:24" ht="15.75" customHeight="1">
      <c r="L527" s="326"/>
      <c r="M527" s="326"/>
      <c r="N527" s="326"/>
      <c r="O527" s="326"/>
      <c r="P527" s="326"/>
      <c r="Q527" s="326"/>
      <c r="R527" s="326"/>
      <c r="S527" s="326"/>
      <c r="T527" s="326"/>
      <c r="U527" s="326"/>
      <c r="V527" s="326"/>
      <c r="W527" s="326"/>
      <c r="X527" s="326"/>
    </row>
    <row r="528" spans="12:24" ht="15.75" customHeight="1">
      <c r="L528" s="326"/>
      <c r="M528" s="326"/>
      <c r="N528" s="326"/>
      <c r="O528" s="326"/>
      <c r="P528" s="326"/>
      <c r="Q528" s="326"/>
      <c r="R528" s="326"/>
      <c r="S528" s="326"/>
      <c r="T528" s="326"/>
      <c r="U528" s="326"/>
      <c r="V528" s="326"/>
      <c r="W528" s="326"/>
      <c r="X528" s="326"/>
    </row>
    <row r="529" spans="12:24" ht="15.75" customHeight="1">
      <c r="L529" s="326"/>
      <c r="M529" s="326"/>
      <c r="N529" s="326"/>
      <c r="O529" s="326"/>
      <c r="P529" s="326"/>
      <c r="Q529" s="326"/>
      <c r="R529" s="326"/>
      <c r="S529" s="326"/>
      <c r="T529" s="326"/>
      <c r="U529" s="326"/>
      <c r="V529" s="326"/>
      <c r="W529" s="326"/>
      <c r="X529" s="326"/>
    </row>
    <row r="530" spans="12:24" ht="15.75" customHeight="1">
      <c r="L530" s="326"/>
      <c r="M530" s="326"/>
      <c r="N530" s="326"/>
      <c r="O530" s="326"/>
      <c r="P530" s="326"/>
      <c r="Q530" s="326"/>
      <c r="R530" s="326"/>
      <c r="S530" s="326"/>
      <c r="T530" s="326"/>
      <c r="U530" s="326"/>
      <c r="V530" s="326"/>
      <c r="W530" s="326"/>
      <c r="X530" s="326"/>
    </row>
    <row r="531" spans="12:24" ht="15.75" customHeight="1">
      <c r="L531" s="326"/>
      <c r="M531" s="326"/>
      <c r="N531" s="326"/>
      <c r="O531" s="326"/>
      <c r="P531" s="326"/>
      <c r="Q531" s="326"/>
      <c r="R531" s="326"/>
      <c r="S531" s="326"/>
      <c r="T531" s="326"/>
      <c r="U531" s="326"/>
      <c r="V531" s="326"/>
      <c r="W531" s="326"/>
      <c r="X531" s="326"/>
    </row>
    <row r="532" spans="12:24" ht="15.75" customHeight="1">
      <c r="L532" s="326"/>
      <c r="M532" s="326"/>
      <c r="N532" s="326"/>
      <c r="O532" s="326"/>
      <c r="P532" s="326"/>
      <c r="Q532" s="326"/>
      <c r="R532" s="326"/>
      <c r="S532" s="326"/>
      <c r="T532" s="326"/>
      <c r="U532" s="326"/>
      <c r="V532" s="326"/>
      <c r="W532" s="326"/>
      <c r="X532" s="326"/>
    </row>
    <row r="533" spans="12:24" ht="15.75" customHeight="1">
      <c r="L533" s="326"/>
      <c r="M533" s="326"/>
      <c r="N533" s="326"/>
      <c r="O533" s="326"/>
      <c r="P533" s="326"/>
      <c r="Q533" s="326"/>
      <c r="R533" s="326"/>
      <c r="S533" s="326"/>
      <c r="T533" s="326"/>
      <c r="U533" s="326"/>
      <c r="V533" s="326"/>
      <c r="W533" s="326"/>
      <c r="X533" s="326"/>
    </row>
    <row r="534" spans="12:24" ht="15.75" customHeight="1">
      <c r="L534" s="326"/>
      <c r="M534" s="326"/>
      <c r="N534" s="326"/>
      <c r="O534" s="326"/>
      <c r="P534" s="326"/>
      <c r="Q534" s="326"/>
      <c r="R534" s="326"/>
      <c r="S534" s="326"/>
      <c r="T534" s="326"/>
      <c r="U534" s="326"/>
      <c r="V534" s="326"/>
      <c r="W534" s="326"/>
      <c r="X534" s="326"/>
    </row>
    <row r="535" spans="12:24" ht="15.75" customHeight="1">
      <c r="L535" s="326"/>
      <c r="M535" s="326"/>
      <c r="N535" s="326"/>
      <c r="O535" s="326"/>
      <c r="P535" s="326"/>
      <c r="Q535" s="326"/>
      <c r="R535" s="326"/>
      <c r="S535" s="326"/>
      <c r="T535" s="326"/>
      <c r="U535" s="326"/>
      <c r="V535" s="326"/>
      <c r="W535" s="326"/>
      <c r="X535" s="326"/>
    </row>
    <row r="536" spans="12:24" ht="15.75" customHeight="1">
      <c r="L536" s="326"/>
      <c r="M536" s="326"/>
      <c r="N536" s="326"/>
      <c r="O536" s="326"/>
      <c r="P536" s="326"/>
      <c r="Q536" s="326"/>
      <c r="R536" s="326"/>
      <c r="S536" s="326"/>
      <c r="T536" s="326"/>
      <c r="U536" s="326"/>
      <c r="V536" s="326"/>
      <c r="W536" s="326"/>
      <c r="X536" s="326"/>
    </row>
    <row r="537" spans="12:24" ht="15.75" customHeight="1">
      <c r="L537" s="326"/>
      <c r="M537" s="326"/>
      <c r="N537" s="326"/>
      <c r="O537" s="326"/>
      <c r="P537" s="326"/>
      <c r="Q537" s="326"/>
      <c r="R537" s="326"/>
      <c r="S537" s="326"/>
      <c r="T537" s="326"/>
      <c r="U537" s="326"/>
      <c r="V537" s="326"/>
      <c r="W537" s="326"/>
      <c r="X537" s="326"/>
    </row>
    <row r="538" spans="12:24" ht="15.75" customHeight="1">
      <c r="L538" s="326"/>
      <c r="M538" s="326"/>
      <c r="N538" s="326"/>
      <c r="O538" s="326"/>
      <c r="P538" s="326"/>
      <c r="Q538" s="326"/>
      <c r="R538" s="326"/>
      <c r="S538" s="326"/>
      <c r="T538" s="326"/>
      <c r="U538" s="326"/>
      <c r="V538" s="326"/>
      <c r="W538" s="326"/>
      <c r="X538" s="326"/>
    </row>
    <row r="539" spans="12:24" ht="15.75" customHeight="1">
      <c r="L539" s="326"/>
      <c r="M539" s="326"/>
      <c r="N539" s="326"/>
      <c r="O539" s="326"/>
      <c r="P539" s="326"/>
      <c r="Q539" s="326"/>
      <c r="R539" s="326"/>
      <c r="S539" s="326"/>
      <c r="T539" s="326"/>
      <c r="U539" s="326"/>
      <c r="V539" s="326"/>
      <c r="W539" s="326"/>
      <c r="X539" s="326"/>
    </row>
    <row r="540" spans="12:24" ht="15.75" customHeight="1">
      <c r="L540" s="326"/>
      <c r="M540" s="326"/>
      <c r="N540" s="326"/>
      <c r="O540" s="326"/>
      <c r="P540" s="326"/>
      <c r="Q540" s="326"/>
      <c r="R540" s="326"/>
      <c r="S540" s="326"/>
      <c r="T540" s="326"/>
      <c r="U540" s="326"/>
      <c r="V540" s="326"/>
      <c r="W540" s="326"/>
      <c r="X540" s="326"/>
    </row>
    <row r="541" spans="12:24" ht="15.75" customHeight="1">
      <c r="L541" s="326"/>
      <c r="M541" s="326"/>
      <c r="N541" s="326"/>
      <c r="O541" s="326"/>
      <c r="P541" s="326"/>
      <c r="Q541" s="326"/>
      <c r="R541" s="326"/>
      <c r="S541" s="326"/>
      <c r="T541" s="326"/>
      <c r="U541" s="326"/>
      <c r="V541" s="326"/>
      <c r="W541" s="326"/>
      <c r="X541" s="326"/>
    </row>
    <row r="542" spans="12:24" ht="15.75" customHeight="1">
      <c r="L542" s="326"/>
      <c r="M542" s="326"/>
      <c r="N542" s="326"/>
      <c r="O542" s="326"/>
      <c r="P542" s="326"/>
      <c r="Q542" s="326"/>
      <c r="R542" s="326"/>
      <c r="S542" s="326"/>
      <c r="T542" s="326"/>
      <c r="U542" s="326"/>
      <c r="V542" s="326"/>
      <c r="W542" s="326"/>
      <c r="X542" s="326"/>
    </row>
    <row r="543" spans="12:24" ht="15.75" customHeight="1">
      <c r="L543" s="326"/>
      <c r="M543" s="326"/>
      <c r="N543" s="326"/>
      <c r="O543" s="326"/>
      <c r="P543" s="326"/>
      <c r="Q543" s="326"/>
      <c r="R543" s="326"/>
      <c r="S543" s="326"/>
      <c r="T543" s="326"/>
      <c r="U543" s="326"/>
      <c r="V543" s="326"/>
      <c r="W543" s="326"/>
      <c r="X543" s="326"/>
    </row>
    <row r="544" spans="12:24" ht="15.75" customHeight="1">
      <c r="L544" s="326"/>
      <c r="M544" s="326"/>
      <c r="N544" s="326"/>
      <c r="O544" s="326"/>
      <c r="P544" s="326"/>
      <c r="Q544" s="326"/>
      <c r="R544" s="326"/>
      <c r="S544" s="326"/>
      <c r="T544" s="326"/>
      <c r="U544" s="326"/>
      <c r="V544" s="326"/>
      <c r="W544" s="326"/>
      <c r="X544" s="326"/>
    </row>
    <row r="545" spans="12:24" ht="15.75" customHeight="1">
      <c r="L545" s="326"/>
      <c r="M545" s="326"/>
      <c r="N545" s="326"/>
      <c r="O545" s="326"/>
      <c r="P545" s="326"/>
      <c r="Q545" s="326"/>
      <c r="R545" s="326"/>
      <c r="S545" s="326"/>
      <c r="T545" s="326"/>
      <c r="U545" s="326"/>
      <c r="V545" s="326"/>
      <c r="W545" s="326"/>
      <c r="X545" s="326"/>
    </row>
    <row r="546" spans="12:24" ht="15.75" customHeight="1">
      <c r="L546" s="326"/>
      <c r="M546" s="326"/>
      <c r="N546" s="326"/>
      <c r="O546" s="326"/>
      <c r="P546" s="326"/>
      <c r="Q546" s="326"/>
      <c r="R546" s="326"/>
      <c r="S546" s="326"/>
      <c r="T546" s="326"/>
      <c r="U546" s="326"/>
      <c r="V546" s="326"/>
      <c r="W546" s="326"/>
      <c r="X546" s="326"/>
    </row>
    <row r="547" spans="12:24" ht="15.75" customHeight="1">
      <c r="L547" s="326"/>
      <c r="M547" s="326"/>
      <c r="N547" s="326"/>
      <c r="O547" s="326"/>
      <c r="P547" s="326"/>
      <c r="Q547" s="326"/>
      <c r="R547" s="326"/>
      <c r="S547" s="326"/>
      <c r="T547" s="326"/>
      <c r="U547" s="326"/>
      <c r="V547" s="326"/>
      <c r="W547" s="326"/>
      <c r="X547" s="326"/>
    </row>
    <row r="548" spans="12:24" ht="15.75" customHeight="1">
      <c r="L548" s="326"/>
      <c r="M548" s="326"/>
      <c r="N548" s="326"/>
      <c r="O548" s="326"/>
      <c r="P548" s="326"/>
      <c r="Q548" s="326"/>
      <c r="R548" s="326"/>
      <c r="S548" s="326"/>
      <c r="T548" s="326"/>
      <c r="U548" s="326"/>
      <c r="V548" s="326"/>
      <c r="W548" s="326"/>
      <c r="X548" s="326"/>
    </row>
    <row r="549" spans="12:24" ht="15.75" customHeight="1">
      <c r="L549" s="326"/>
      <c r="M549" s="326"/>
      <c r="N549" s="326"/>
      <c r="O549" s="326"/>
      <c r="P549" s="326"/>
      <c r="Q549" s="326"/>
      <c r="R549" s="326"/>
      <c r="S549" s="326"/>
      <c r="T549" s="326"/>
      <c r="U549" s="326"/>
      <c r="V549" s="326"/>
      <c r="W549" s="326"/>
      <c r="X549" s="326"/>
    </row>
    <row r="550" spans="12:24" ht="15.75" customHeight="1">
      <c r="L550" s="326"/>
      <c r="M550" s="326"/>
      <c r="N550" s="326"/>
      <c r="O550" s="326"/>
      <c r="P550" s="326"/>
      <c r="Q550" s="326"/>
      <c r="R550" s="326"/>
      <c r="S550" s="326"/>
      <c r="T550" s="326"/>
      <c r="U550" s="326"/>
      <c r="V550" s="326"/>
      <c r="W550" s="326"/>
      <c r="X550" s="326"/>
    </row>
    <row r="551" spans="12:24" ht="15.75" customHeight="1">
      <c r="L551" s="326"/>
      <c r="M551" s="326"/>
      <c r="N551" s="326"/>
      <c r="O551" s="326"/>
      <c r="P551" s="326"/>
      <c r="Q551" s="326"/>
      <c r="R551" s="326"/>
      <c r="S551" s="326"/>
      <c r="T551" s="326"/>
      <c r="U551" s="326"/>
      <c r="V551" s="326"/>
      <c r="W551" s="326"/>
      <c r="X551" s="326"/>
    </row>
    <row r="552" spans="12:24" ht="15.75" customHeight="1">
      <c r="L552" s="326"/>
      <c r="M552" s="326"/>
      <c r="N552" s="326"/>
      <c r="O552" s="326"/>
      <c r="P552" s="326"/>
      <c r="Q552" s="326"/>
      <c r="R552" s="326"/>
      <c r="S552" s="326"/>
      <c r="T552" s="326"/>
      <c r="U552" s="326"/>
      <c r="V552" s="326"/>
      <c r="W552" s="326"/>
      <c r="X552" s="326"/>
    </row>
    <row r="553" spans="12:24" ht="15.75" customHeight="1">
      <c r="L553" s="326"/>
      <c r="M553" s="326"/>
      <c r="N553" s="326"/>
      <c r="O553" s="326"/>
      <c r="P553" s="326"/>
      <c r="Q553" s="326"/>
      <c r="R553" s="326"/>
      <c r="S553" s="326"/>
      <c r="T553" s="326"/>
      <c r="U553" s="326"/>
      <c r="V553" s="326"/>
      <c r="W553" s="326"/>
      <c r="X553" s="326"/>
    </row>
    <row r="554" spans="12:24" ht="15.75" customHeight="1">
      <c r="L554" s="326"/>
      <c r="M554" s="326"/>
      <c r="N554" s="326"/>
      <c r="O554" s="326"/>
      <c r="P554" s="326"/>
      <c r="Q554" s="326"/>
      <c r="R554" s="326"/>
      <c r="S554" s="326"/>
      <c r="T554" s="326"/>
      <c r="U554" s="326"/>
      <c r="V554" s="326"/>
      <c r="W554" s="326"/>
      <c r="X554" s="326"/>
    </row>
    <row r="555" spans="12:24" ht="15.75" customHeight="1">
      <c r="L555" s="326"/>
      <c r="M555" s="326"/>
      <c r="N555" s="326"/>
      <c r="O555" s="326"/>
      <c r="P555" s="326"/>
      <c r="Q555" s="326"/>
      <c r="R555" s="326"/>
      <c r="S555" s="326"/>
      <c r="T555" s="326"/>
      <c r="U555" s="326"/>
      <c r="V555" s="326"/>
      <c r="W555" s="326"/>
      <c r="X555" s="326"/>
    </row>
    <row r="556" spans="12:24" ht="15.75" customHeight="1">
      <c r="L556" s="326"/>
      <c r="M556" s="326"/>
      <c r="N556" s="326"/>
      <c r="O556" s="326"/>
      <c r="P556" s="326"/>
      <c r="Q556" s="326"/>
      <c r="R556" s="326"/>
      <c r="S556" s="326"/>
      <c r="T556" s="326"/>
      <c r="U556" s="326"/>
      <c r="V556" s="326"/>
      <c r="W556" s="326"/>
      <c r="X556" s="326"/>
    </row>
    <row r="557" spans="12:24" ht="15.75" customHeight="1">
      <c r="L557" s="326"/>
      <c r="M557" s="326"/>
      <c r="N557" s="326"/>
      <c r="O557" s="326"/>
      <c r="P557" s="326"/>
      <c r="Q557" s="326"/>
      <c r="R557" s="326"/>
      <c r="S557" s="326"/>
      <c r="T557" s="326"/>
      <c r="U557" s="326"/>
      <c r="V557" s="326"/>
      <c r="W557" s="326"/>
      <c r="X557" s="326"/>
    </row>
    <row r="558" spans="12:24" ht="15.75" customHeight="1">
      <c r="L558" s="326"/>
      <c r="M558" s="326"/>
      <c r="N558" s="326"/>
      <c r="O558" s="326"/>
      <c r="P558" s="326"/>
      <c r="Q558" s="326"/>
      <c r="R558" s="326"/>
      <c r="S558" s="326"/>
      <c r="T558" s="326"/>
      <c r="U558" s="326"/>
      <c r="V558" s="326"/>
      <c r="W558" s="326"/>
      <c r="X558" s="326"/>
    </row>
    <row r="559" spans="12:24" ht="15.75" customHeight="1">
      <c r="L559" s="326"/>
      <c r="M559" s="326"/>
      <c r="N559" s="326"/>
      <c r="O559" s="326"/>
      <c r="P559" s="326"/>
      <c r="Q559" s="326"/>
      <c r="R559" s="326"/>
      <c r="S559" s="326"/>
      <c r="T559" s="326"/>
      <c r="U559" s="326"/>
      <c r="V559" s="326"/>
      <c r="W559" s="326"/>
      <c r="X559" s="326"/>
    </row>
    <row r="560" spans="12:24" ht="15.75" customHeight="1">
      <c r="L560" s="326"/>
      <c r="M560" s="326"/>
      <c r="N560" s="326"/>
      <c r="O560" s="326"/>
      <c r="P560" s="326"/>
      <c r="Q560" s="326"/>
      <c r="R560" s="326"/>
      <c r="S560" s="326"/>
      <c r="T560" s="326"/>
      <c r="U560" s="326"/>
      <c r="V560" s="326"/>
      <c r="W560" s="326"/>
      <c r="X560" s="326"/>
    </row>
    <row r="561" spans="12:24" ht="15.75" customHeight="1">
      <c r="L561" s="326"/>
      <c r="M561" s="326"/>
      <c r="N561" s="326"/>
      <c r="O561" s="326"/>
      <c r="P561" s="326"/>
      <c r="Q561" s="326"/>
      <c r="R561" s="326"/>
      <c r="S561" s="326"/>
      <c r="T561" s="326"/>
      <c r="U561" s="326"/>
      <c r="V561" s="326"/>
      <c r="W561" s="326"/>
      <c r="X561" s="326"/>
    </row>
    <row r="562" spans="12:24" ht="15.75" customHeight="1">
      <c r="L562" s="326"/>
      <c r="M562" s="326"/>
      <c r="N562" s="326"/>
      <c r="O562" s="326"/>
      <c r="P562" s="326"/>
      <c r="Q562" s="326"/>
      <c r="R562" s="326"/>
      <c r="S562" s="326"/>
      <c r="T562" s="326"/>
      <c r="U562" s="326"/>
      <c r="V562" s="326"/>
      <c r="W562" s="326"/>
      <c r="X562" s="326"/>
    </row>
    <row r="563" spans="12:24" ht="15.75" customHeight="1">
      <c r="L563" s="326"/>
      <c r="M563" s="326"/>
      <c r="N563" s="326"/>
      <c r="O563" s="326"/>
      <c r="P563" s="326"/>
      <c r="Q563" s="326"/>
      <c r="R563" s="326"/>
      <c r="S563" s="326"/>
      <c r="T563" s="326"/>
      <c r="U563" s="326"/>
      <c r="V563" s="326"/>
      <c r="W563" s="326"/>
      <c r="X563" s="326"/>
    </row>
    <row r="564" spans="12:24" ht="15.75" customHeight="1">
      <c r="L564" s="326"/>
      <c r="M564" s="326"/>
      <c r="N564" s="326"/>
      <c r="O564" s="326"/>
      <c r="P564" s="326"/>
      <c r="Q564" s="326"/>
      <c r="R564" s="326"/>
      <c r="S564" s="326"/>
      <c r="T564" s="326"/>
      <c r="U564" s="326"/>
      <c r="V564" s="326"/>
      <c r="W564" s="326"/>
      <c r="X564" s="326"/>
    </row>
    <row r="565" spans="12:24" ht="15.75" customHeight="1">
      <c r="L565" s="326"/>
      <c r="M565" s="326"/>
      <c r="N565" s="326"/>
      <c r="O565" s="326"/>
      <c r="P565" s="326"/>
      <c r="Q565" s="326"/>
      <c r="R565" s="326"/>
      <c r="S565" s="326"/>
      <c r="T565" s="326"/>
      <c r="U565" s="326"/>
      <c r="V565" s="326"/>
      <c r="W565" s="326"/>
      <c r="X565" s="326"/>
    </row>
    <row r="566" spans="12:24" ht="15.75" customHeight="1">
      <c r="L566" s="326"/>
      <c r="M566" s="326"/>
      <c r="N566" s="326"/>
      <c r="O566" s="326"/>
      <c r="P566" s="326"/>
      <c r="Q566" s="326"/>
      <c r="R566" s="326"/>
      <c r="S566" s="326"/>
      <c r="T566" s="326"/>
      <c r="U566" s="326"/>
      <c r="V566" s="326"/>
      <c r="W566" s="326"/>
      <c r="X566" s="326"/>
    </row>
    <row r="567" spans="12:24" ht="15.75" customHeight="1">
      <c r="L567" s="326"/>
      <c r="M567" s="326"/>
      <c r="N567" s="326"/>
      <c r="O567" s="326"/>
      <c r="P567" s="326"/>
      <c r="Q567" s="326"/>
      <c r="R567" s="326"/>
      <c r="S567" s="326"/>
      <c r="T567" s="326"/>
      <c r="U567" s="326"/>
      <c r="V567" s="326"/>
      <c r="W567" s="326"/>
      <c r="X567" s="326"/>
    </row>
    <row r="568" spans="12:24" ht="15.75" customHeight="1">
      <c r="L568" s="326"/>
      <c r="M568" s="326"/>
      <c r="N568" s="326"/>
      <c r="O568" s="326"/>
      <c r="P568" s="326"/>
      <c r="Q568" s="326"/>
      <c r="R568" s="326"/>
      <c r="S568" s="326"/>
      <c r="T568" s="326"/>
      <c r="U568" s="326"/>
      <c r="V568" s="326"/>
      <c r="W568" s="326"/>
      <c r="X568" s="326"/>
    </row>
    <row r="569" spans="12:24" ht="15.75" customHeight="1">
      <c r="L569" s="326"/>
      <c r="M569" s="326"/>
      <c r="N569" s="326"/>
      <c r="O569" s="326"/>
      <c r="P569" s="326"/>
      <c r="Q569" s="326"/>
      <c r="R569" s="326"/>
      <c r="S569" s="326"/>
      <c r="T569" s="326"/>
      <c r="U569" s="326"/>
      <c r="V569" s="326"/>
      <c r="W569" s="326"/>
      <c r="X569" s="326"/>
    </row>
    <row r="570" spans="12:24" ht="15.75" customHeight="1">
      <c r="L570" s="326"/>
      <c r="M570" s="326"/>
      <c r="N570" s="326"/>
      <c r="O570" s="326"/>
      <c r="P570" s="326"/>
      <c r="Q570" s="326"/>
      <c r="R570" s="326"/>
      <c r="S570" s="326"/>
      <c r="T570" s="326"/>
      <c r="U570" s="326"/>
      <c r="V570" s="326"/>
      <c r="W570" s="326"/>
      <c r="X570" s="326"/>
    </row>
    <row r="571" spans="12:24" ht="15.75" customHeight="1">
      <c r="L571" s="326"/>
      <c r="M571" s="326"/>
      <c r="N571" s="326"/>
      <c r="O571" s="326"/>
      <c r="P571" s="326"/>
      <c r="Q571" s="326"/>
      <c r="R571" s="326"/>
      <c r="S571" s="326"/>
      <c r="T571" s="326"/>
      <c r="U571" s="326"/>
      <c r="V571" s="326"/>
      <c r="W571" s="326"/>
      <c r="X571" s="326"/>
    </row>
    <row r="572" spans="12:24" ht="15.75" customHeight="1">
      <c r="L572" s="326"/>
      <c r="M572" s="326"/>
      <c r="N572" s="326"/>
      <c r="O572" s="326"/>
      <c r="P572" s="326"/>
      <c r="Q572" s="326"/>
      <c r="R572" s="326"/>
      <c r="S572" s="326"/>
      <c r="T572" s="326"/>
      <c r="U572" s="326"/>
      <c r="V572" s="326"/>
      <c r="W572" s="326"/>
      <c r="X572" s="326"/>
    </row>
    <row r="573" spans="12:24" ht="15.75" customHeight="1">
      <c r="L573" s="326"/>
      <c r="M573" s="326"/>
      <c r="N573" s="326"/>
      <c r="O573" s="326"/>
      <c r="P573" s="326"/>
      <c r="Q573" s="326"/>
      <c r="R573" s="326"/>
      <c r="S573" s="326"/>
      <c r="T573" s="326"/>
      <c r="U573" s="326"/>
      <c r="V573" s="326"/>
      <c r="W573" s="326"/>
      <c r="X573" s="326"/>
    </row>
    <row r="574" spans="12:24" ht="15.75" customHeight="1">
      <c r="L574" s="326"/>
      <c r="M574" s="326"/>
      <c r="N574" s="326"/>
      <c r="O574" s="326"/>
      <c r="P574" s="326"/>
      <c r="Q574" s="326"/>
      <c r="R574" s="326"/>
      <c r="S574" s="326"/>
      <c r="T574" s="326"/>
      <c r="U574" s="326"/>
      <c r="V574" s="326"/>
      <c r="W574" s="326"/>
      <c r="X574" s="326"/>
    </row>
    <row r="575" spans="12:24" ht="15.75" customHeight="1">
      <c r="L575" s="326"/>
      <c r="M575" s="326"/>
      <c r="N575" s="326"/>
      <c r="O575" s="326"/>
      <c r="P575" s="326"/>
      <c r="Q575" s="326"/>
      <c r="R575" s="326"/>
      <c r="S575" s="326"/>
      <c r="T575" s="326"/>
      <c r="U575" s="326"/>
      <c r="V575" s="326"/>
      <c r="W575" s="326"/>
      <c r="X575" s="326"/>
    </row>
    <row r="576" spans="12:24" ht="15.75" customHeight="1">
      <c r="L576" s="326"/>
      <c r="M576" s="326"/>
      <c r="N576" s="326"/>
      <c r="O576" s="326"/>
      <c r="P576" s="326"/>
      <c r="Q576" s="326"/>
      <c r="R576" s="326"/>
      <c r="S576" s="326"/>
      <c r="T576" s="326"/>
      <c r="U576" s="326"/>
      <c r="V576" s="326"/>
      <c r="W576" s="326"/>
      <c r="X576" s="326"/>
    </row>
    <row r="577" spans="12:24" ht="15.75" customHeight="1">
      <c r="L577" s="326"/>
      <c r="M577" s="326"/>
      <c r="N577" s="326"/>
      <c r="O577" s="326"/>
      <c r="P577" s="326"/>
      <c r="Q577" s="326"/>
      <c r="R577" s="326"/>
      <c r="S577" s="326"/>
      <c r="T577" s="326"/>
      <c r="U577" s="326"/>
      <c r="V577" s="326"/>
      <c r="W577" s="326"/>
      <c r="X577" s="326"/>
    </row>
    <row r="578" spans="12:24" ht="15.75" customHeight="1">
      <c r="L578" s="326"/>
      <c r="M578" s="326"/>
      <c r="N578" s="326"/>
      <c r="O578" s="326"/>
      <c r="P578" s="326"/>
      <c r="Q578" s="326"/>
      <c r="R578" s="326"/>
      <c r="S578" s="326"/>
      <c r="T578" s="326"/>
      <c r="U578" s="326"/>
      <c r="V578" s="326"/>
      <c r="W578" s="326"/>
      <c r="X578" s="326"/>
    </row>
    <row r="579" spans="12:24" ht="15.75" customHeight="1">
      <c r="L579" s="326"/>
      <c r="M579" s="326"/>
      <c r="N579" s="326"/>
      <c r="O579" s="326"/>
      <c r="P579" s="326"/>
      <c r="Q579" s="326"/>
      <c r="R579" s="326"/>
      <c r="S579" s="326"/>
      <c r="T579" s="326"/>
      <c r="U579" s="326"/>
      <c r="V579" s="326"/>
      <c r="W579" s="326"/>
      <c r="X579" s="326"/>
    </row>
    <row r="580" spans="12:24" ht="15.75" customHeight="1">
      <c r="L580" s="326"/>
      <c r="M580" s="326"/>
      <c r="N580" s="326"/>
      <c r="O580" s="326"/>
      <c r="P580" s="326"/>
      <c r="Q580" s="326"/>
      <c r="R580" s="326"/>
      <c r="S580" s="326"/>
      <c r="T580" s="326"/>
      <c r="U580" s="326"/>
      <c r="V580" s="326"/>
      <c r="W580" s="326"/>
      <c r="X580" s="326"/>
    </row>
    <row r="581" spans="12:24" ht="15.75" customHeight="1">
      <c r="L581" s="326"/>
      <c r="M581" s="326"/>
      <c r="N581" s="326"/>
      <c r="O581" s="326"/>
      <c r="P581" s="326"/>
      <c r="Q581" s="326"/>
      <c r="R581" s="326"/>
      <c r="S581" s="326"/>
      <c r="T581" s="326"/>
      <c r="U581" s="326"/>
      <c r="V581" s="326"/>
      <c r="W581" s="326"/>
      <c r="X581" s="326"/>
    </row>
    <row r="582" spans="12:24" ht="15.75" customHeight="1">
      <c r="L582" s="326"/>
      <c r="M582" s="326"/>
      <c r="N582" s="326"/>
      <c r="O582" s="326"/>
      <c r="P582" s="326"/>
      <c r="Q582" s="326"/>
      <c r="R582" s="326"/>
      <c r="S582" s="326"/>
      <c r="T582" s="326"/>
      <c r="U582" s="326"/>
      <c r="V582" s="326"/>
      <c r="W582" s="326"/>
      <c r="X582" s="326"/>
    </row>
    <row r="583" spans="12:24" ht="15.75" customHeight="1">
      <c r="L583" s="326"/>
      <c r="M583" s="326"/>
      <c r="N583" s="326"/>
      <c r="O583" s="326"/>
      <c r="P583" s="326"/>
      <c r="Q583" s="326"/>
      <c r="R583" s="326"/>
      <c r="S583" s="326"/>
      <c r="T583" s="326"/>
      <c r="U583" s="326"/>
      <c r="V583" s="326"/>
      <c r="W583" s="326"/>
      <c r="X583" s="326"/>
    </row>
    <row r="584" spans="12:24" ht="15.75" customHeight="1">
      <c r="L584" s="326"/>
      <c r="M584" s="326"/>
      <c r="N584" s="326"/>
      <c r="O584" s="326"/>
      <c r="P584" s="326"/>
      <c r="Q584" s="326"/>
      <c r="R584" s="326"/>
      <c r="S584" s="326"/>
      <c r="T584" s="326"/>
      <c r="U584" s="326"/>
      <c r="V584" s="326"/>
      <c r="W584" s="326"/>
      <c r="X584" s="326"/>
    </row>
    <row r="585" spans="12:24" ht="15.75" customHeight="1">
      <c r="L585" s="326"/>
      <c r="M585" s="326"/>
      <c r="N585" s="326"/>
      <c r="O585" s="326"/>
      <c r="P585" s="326"/>
      <c r="Q585" s="326"/>
      <c r="R585" s="326"/>
      <c r="S585" s="326"/>
      <c r="T585" s="326"/>
      <c r="U585" s="326"/>
      <c r="V585" s="326"/>
      <c r="W585" s="326"/>
      <c r="X585" s="326"/>
    </row>
    <row r="586" spans="12:24" ht="15.75" customHeight="1">
      <c r="L586" s="326"/>
      <c r="M586" s="326"/>
      <c r="N586" s="326"/>
      <c r="O586" s="326"/>
      <c r="P586" s="326"/>
      <c r="Q586" s="326"/>
      <c r="R586" s="326"/>
      <c r="S586" s="326"/>
      <c r="T586" s="326"/>
      <c r="U586" s="326"/>
      <c r="V586" s="326"/>
      <c r="W586" s="326"/>
      <c r="X586" s="326"/>
    </row>
    <row r="587" spans="12:24" ht="15.75" customHeight="1">
      <c r="L587" s="326"/>
      <c r="M587" s="326"/>
      <c r="N587" s="326"/>
      <c r="O587" s="326"/>
      <c r="P587" s="326"/>
      <c r="Q587" s="326"/>
      <c r="R587" s="326"/>
      <c r="S587" s="326"/>
      <c r="T587" s="326"/>
      <c r="U587" s="326"/>
      <c r="V587" s="326"/>
      <c r="W587" s="326"/>
      <c r="X587" s="326"/>
    </row>
    <row r="588" spans="12:24" ht="15.75" customHeight="1">
      <c r="L588" s="326"/>
      <c r="M588" s="326"/>
      <c r="N588" s="326"/>
      <c r="O588" s="326"/>
      <c r="P588" s="326"/>
      <c r="Q588" s="326"/>
      <c r="R588" s="326"/>
      <c r="S588" s="326"/>
      <c r="T588" s="326"/>
      <c r="U588" s="326"/>
      <c r="V588" s="326"/>
      <c r="W588" s="326"/>
      <c r="X588" s="326"/>
    </row>
    <row r="589" spans="12:24" ht="15.75" customHeight="1">
      <c r="L589" s="326"/>
      <c r="M589" s="326"/>
      <c r="N589" s="326"/>
      <c r="O589" s="326"/>
      <c r="P589" s="326"/>
      <c r="Q589" s="326"/>
      <c r="R589" s="326"/>
      <c r="S589" s="326"/>
      <c r="T589" s="326"/>
      <c r="U589" s="326"/>
      <c r="V589" s="326"/>
      <c r="W589" s="326"/>
      <c r="X589" s="326"/>
    </row>
    <row r="590" spans="12:24" ht="15.75" customHeight="1">
      <c r="L590" s="326"/>
      <c r="M590" s="326"/>
      <c r="N590" s="326"/>
      <c r="O590" s="326"/>
      <c r="P590" s="326"/>
      <c r="Q590" s="326"/>
      <c r="R590" s="326"/>
      <c r="S590" s="326"/>
      <c r="T590" s="326"/>
      <c r="U590" s="326"/>
      <c r="V590" s="326"/>
      <c r="W590" s="326"/>
      <c r="X590" s="326"/>
    </row>
    <row r="591" spans="12:24" ht="15.75" customHeight="1">
      <c r="L591" s="326"/>
      <c r="M591" s="326"/>
      <c r="N591" s="326"/>
      <c r="O591" s="326"/>
      <c r="P591" s="326"/>
      <c r="Q591" s="326"/>
      <c r="R591" s="326"/>
      <c r="S591" s="326"/>
      <c r="T591" s="326"/>
      <c r="U591" s="326"/>
      <c r="V591" s="326"/>
      <c r="W591" s="326"/>
      <c r="X591" s="326"/>
    </row>
    <row r="592" spans="12:24" ht="15.75" customHeight="1">
      <c r="L592" s="326"/>
      <c r="M592" s="326"/>
      <c r="N592" s="326"/>
      <c r="O592" s="326"/>
      <c r="P592" s="326"/>
      <c r="Q592" s="326"/>
      <c r="R592" s="326"/>
      <c r="S592" s="326"/>
      <c r="T592" s="326"/>
      <c r="U592" s="326"/>
      <c r="V592" s="326"/>
      <c r="W592" s="326"/>
      <c r="X592" s="326"/>
    </row>
    <row r="593" spans="12:24" ht="15.75" customHeight="1">
      <c r="L593" s="326"/>
      <c r="M593" s="326"/>
      <c r="N593" s="326"/>
      <c r="O593" s="326"/>
      <c r="P593" s="326"/>
      <c r="Q593" s="326"/>
      <c r="R593" s="326"/>
      <c r="S593" s="326"/>
      <c r="T593" s="326"/>
      <c r="U593" s="326"/>
      <c r="V593" s="326"/>
      <c r="W593" s="326"/>
      <c r="X593" s="326"/>
    </row>
    <row r="594" spans="12:24" ht="15.75" customHeight="1">
      <c r="L594" s="326"/>
      <c r="M594" s="326"/>
      <c r="N594" s="326"/>
      <c r="O594" s="326"/>
      <c r="P594" s="326"/>
      <c r="Q594" s="326"/>
      <c r="R594" s="326"/>
      <c r="S594" s="326"/>
      <c r="T594" s="326"/>
      <c r="U594" s="326"/>
      <c r="V594" s="326"/>
      <c r="W594" s="326"/>
      <c r="X594" s="326"/>
    </row>
    <row r="595" spans="12:24" ht="15.75" customHeight="1">
      <c r="L595" s="326"/>
      <c r="M595" s="326"/>
      <c r="N595" s="326"/>
      <c r="O595" s="326"/>
      <c r="P595" s="326"/>
      <c r="Q595" s="326"/>
      <c r="R595" s="326"/>
      <c r="S595" s="326"/>
      <c r="T595" s="326"/>
      <c r="U595" s="326"/>
      <c r="V595" s="326"/>
      <c r="W595" s="326"/>
      <c r="X595" s="326"/>
    </row>
    <row r="596" spans="12:24" ht="15.75" customHeight="1">
      <c r="L596" s="326"/>
      <c r="M596" s="326"/>
      <c r="N596" s="326"/>
      <c r="O596" s="326"/>
      <c r="P596" s="326"/>
      <c r="Q596" s="326"/>
      <c r="R596" s="326"/>
      <c r="S596" s="326"/>
      <c r="T596" s="326"/>
      <c r="U596" s="326"/>
      <c r="V596" s="326"/>
      <c r="W596" s="326"/>
      <c r="X596" s="326"/>
    </row>
    <row r="597" spans="12:24" ht="15.75" customHeight="1">
      <c r="L597" s="326"/>
      <c r="M597" s="326"/>
      <c r="N597" s="326"/>
      <c r="O597" s="326"/>
      <c r="P597" s="326"/>
      <c r="Q597" s="326"/>
      <c r="R597" s="326"/>
      <c r="S597" s="326"/>
      <c r="T597" s="326"/>
      <c r="U597" s="326"/>
      <c r="V597" s="326"/>
      <c r="W597" s="326"/>
      <c r="X597" s="326"/>
    </row>
    <row r="598" spans="12:24" ht="15.75" customHeight="1">
      <c r="L598" s="326"/>
      <c r="M598" s="326"/>
      <c r="N598" s="326"/>
      <c r="O598" s="326"/>
      <c r="P598" s="326"/>
      <c r="Q598" s="326"/>
      <c r="R598" s="326"/>
      <c r="S598" s="326"/>
      <c r="T598" s="326"/>
      <c r="U598" s="326"/>
      <c r="V598" s="326"/>
      <c r="W598" s="326"/>
      <c r="X598" s="326"/>
    </row>
    <row r="599" spans="12:24" ht="15.75" customHeight="1">
      <c r="L599" s="326"/>
      <c r="M599" s="326"/>
      <c r="N599" s="326"/>
      <c r="O599" s="326"/>
      <c r="P599" s="326"/>
      <c r="Q599" s="326"/>
      <c r="R599" s="326"/>
      <c r="S599" s="326"/>
      <c r="T599" s="326"/>
      <c r="U599" s="326"/>
      <c r="V599" s="326"/>
      <c r="W599" s="326"/>
      <c r="X599" s="326"/>
    </row>
    <row r="600" spans="12:24" ht="15.75" customHeight="1">
      <c r="L600" s="326"/>
      <c r="M600" s="326"/>
      <c r="N600" s="326"/>
      <c r="O600" s="326"/>
      <c r="P600" s="326"/>
      <c r="Q600" s="326"/>
      <c r="R600" s="326"/>
      <c r="S600" s="326"/>
      <c r="T600" s="326"/>
      <c r="U600" s="326"/>
      <c r="V600" s="326"/>
      <c r="W600" s="326"/>
      <c r="X600" s="326"/>
    </row>
    <row r="601" spans="12:24" ht="15.75" customHeight="1">
      <c r="L601" s="326"/>
      <c r="M601" s="326"/>
      <c r="N601" s="326"/>
      <c r="O601" s="326"/>
      <c r="P601" s="326"/>
      <c r="Q601" s="326"/>
      <c r="R601" s="326"/>
      <c r="S601" s="326"/>
      <c r="T601" s="326"/>
      <c r="U601" s="326"/>
      <c r="V601" s="326"/>
      <c r="W601" s="326"/>
      <c r="X601" s="326"/>
    </row>
    <row r="602" spans="12:24" ht="15.75" customHeight="1">
      <c r="L602" s="326"/>
      <c r="M602" s="326"/>
      <c r="N602" s="326"/>
      <c r="O602" s="326"/>
      <c r="P602" s="326"/>
      <c r="Q602" s="326"/>
      <c r="R602" s="326"/>
      <c r="S602" s="326"/>
      <c r="T602" s="326"/>
      <c r="U602" s="326"/>
      <c r="V602" s="326"/>
      <c r="W602" s="326"/>
      <c r="X602" s="326"/>
    </row>
    <row r="603" spans="12:24" ht="15.75" customHeight="1">
      <c r="L603" s="326"/>
      <c r="M603" s="326"/>
      <c r="N603" s="326"/>
      <c r="O603" s="326"/>
      <c r="P603" s="326"/>
      <c r="Q603" s="326"/>
      <c r="R603" s="326"/>
      <c r="S603" s="326"/>
      <c r="T603" s="326"/>
      <c r="U603" s="326"/>
      <c r="V603" s="326"/>
      <c r="W603" s="326"/>
      <c r="X603" s="326"/>
    </row>
    <row r="604" spans="12:24" ht="15.75" customHeight="1">
      <c r="L604" s="326"/>
      <c r="M604" s="326"/>
      <c r="N604" s="326"/>
      <c r="O604" s="326"/>
      <c r="P604" s="326"/>
      <c r="Q604" s="326"/>
      <c r="R604" s="326"/>
      <c r="S604" s="326"/>
      <c r="T604" s="326"/>
      <c r="U604" s="326"/>
      <c r="V604" s="326"/>
      <c r="W604" s="326"/>
      <c r="X604" s="326"/>
    </row>
    <row r="605" spans="12:24" ht="15.75" customHeight="1">
      <c r="L605" s="326"/>
      <c r="M605" s="326"/>
      <c r="N605" s="326"/>
      <c r="O605" s="326"/>
      <c r="P605" s="326"/>
      <c r="Q605" s="326"/>
      <c r="R605" s="326"/>
      <c r="S605" s="326"/>
      <c r="T605" s="326"/>
      <c r="U605" s="326"/>
      <c r="V605" s="326"/>
      <c r="W605" s="326"/>
      <c r="X605" s="326"/>
    </row>
    <row r="606" spans="12:24" ht="15.75" customHeight="1">
      <c r="L606" s="326"/>
      <c r="M606" s="326"/>
      <c r="N606" s="326"/>
      <c r="O606" s="326"/>
      <c r="P606" s="326"/>
      <c r="Q606" s="326"/>
      <c r="R606" s="326"/>
      <c r="S606" s="326"/>
      <c r="T606" s="326"/>
      <c r="U606" s="326"/>
      <c r="V606" s="326"/>
      <c r="W606" s="326"/>
      <c r="X606" s="326"/>
    </row>
    <row r="607" spans="12:24" ht="15.75" customHeight="1">
      <c r="L607" s="326"/>
      <c r="M607" s="326"/>
      <c r="N607" s="326"/>
      <c r="O607" s="326"/>
      <c r="P607" s="326"/>
      <c r="Q607" s="326"/>
      <c r="R607" s="326"/>
      <c r="S607" s="326"/>
      <c r="T607" s="326"/>
      <c r="U607" s="326"/>
      <c r="V607" s="326"/>
      <c r="W607" s="326"/>
      <c r="X607" s="326"/>
    </row>
    <row r="608" spans="12:24" ht="15.75" customHeight="1">
      <c r="L608" s="326"/>
      <c r="M608" s="326"/>
      <c r="N608" s="326"/>
      <c r="O608" s="326"/>
      <c r="P608" s="326"/>
      <c r="Q608" s="326"/>
      <c r="R608" s="326"/>
      <c r="S608" s="326"/>
      <c r="T608" s="326"/>
      <c r="U608" s="326"/>
      <c r="V608" s="326"/>
      <c r="W608" s="326"/>
      <c r="X608" s="326"/>
    </row>
    <row r="609" spans="12:24" ht="15.75" customHeight="1">
      <c r="L609" s="326"/>
      <c r="M609" s="326"/>
      <c r="N609" s="326"/>
      <c r="O609" s="326"/>
      <c r="P609" s="326"/>
      <c r="Q609" s="326"/>
      <c r="R609" s="326"/>
      <c r="S609" s="326"/>
      <c r="T609" s="326"/>
      <c r="U609" s="326"/>
      <c r="V609" s="326"/>
      <c r="W609" s="326"/>
      <c r="X609" s="326"/>
    </row>
    <row r="610" spans="12:24" ht="15.75" customHeight="1">
      <c r="L610" s="326"/>
      <c r="M610" s="326"/>
      <c r="N610" s="326"/>
      <c r="O610" s="326"/>
      <c r="P610" s="326"/>
      <c r="Q610" s="326"/>
      <c r="R610" s="326"/>
      <c r="S610" s="326"/>
      <c r="T610" s="326"/>
      <c r="U610" s="326"/>
      <c r="V610" s="326"/>
      <c r="W610" s="326"/>
      <c r="X610" s="326"/>
    </row>
    <row r="611" spans="12:24" ht="15.75" customHeight="1">
      <c r="L611" s="326"/>
      <c r="M611" s="326"/>
      <c r="N611" s="326"/>
      <c r="O611" s="326"/>
      <c r="P611" s="326"/>
      <c r="Q611" s="326"/>
      <c r="R611" s="326"/>
      <c r="S611" s="326"/>
      <c r="T611" s="326"/>
      <c r="U611" s="326"/>
      <c r="V611" s="326"/>
      <c r="W611" s="326"/>
      <c r="X611" s="326"/>
    </row>
    <row r="612" spans="12:24" ht="15.75" customHeight="1">
      <c r="L612" s="326"/>
      <c r="M612" s="326"/>
      <c r="N612" s="326"/>
      <c r="O612" s="326"/>
      <c r="P612" s="326"/>
      <c r="Q612" s="326"/>
      <c r="R612" s="326"/>
      <c r="S612" s="326"/>
      <c r="T612" s="326"/>
      <c r="U612" s="326"/>
      <c r="V612" s="326"/>
      <c r="W612" s="326"/>
      <c r="X612" s="326"/>
    </row>
    <row r="613" spans="12:24" ht="15.75" customHeight="1">
      <c r="L613" s="326"/>
      <c r="M613" s="326"/>
      <c r="N613" s="326"/>
      <c r="O613" s="326"/>
      <c r="P613" s="326"/>
      <c r="Q613" s="326"/>
      <c r="R613" s="326"/>
      <c r="S613" s="326"/>
      <c r="T613" s="326"/>
      <c r="U613" s="326"/>
      <c r="V613" s="326"/>
      <c r="W613" s="326"/>
      <c r="X613" s="326"/>
    </row>
    <row r="614" spans="12:24" ht="15.75" customHeight="1">
      <c r="L614" s="326"/>
      <c r="M614" s="326"/>
      <c r="N614" s="326"/>
      <c r="O614" s="326"/>
      <c r="P614" s="326"/>
      <c r="Q614" s="326"/>
      <c r="R614" s="326"/>
      <c r="S614" s="326"/>
      <c r="T614" s="326"/>
      <c r="U614" s="326"/>
      <c r="V614" s="326"/>
      <c r="W614" s="326"/>
      <c r="X614" s="326"/>
    </row>
    <row r="615" spans="12:24" ht="15.75" customHeight="1">
      <c r="L615" s="326"/>
      <c r="M615" s="326"/>
      <c r="N615" s="326"/>
      <c r="O615" s="326"/>
      <c r="P615" s="326"/>
      <c r="Q615" s="326"/>
      <c r="R615" s="326"/>
      <c r="S615" s="326"/>
      <c r="T615" s="326"/>
      <c r="U615" s="326"/>
      <c r="V615" s="326"/>
      <c r="W615" s="326"/>
      <c r="X615" s="326"/>
    </row>
    <row r="616" spans="12:24" ht="15.75" customHeight="1">
      <c r="L616" s="326"/>
      <c r="M616" s="326"/>
      <c r="N616" s="326"/>
      <c r="O616" s="326"/>
      <c r="P616" s="326"/>
      <c r="Q616" s="326"/>
      <c r="R616" s="326"/>
      <c r="S616" s="326"/>
      <c r="T616" s="326"/>
      <c r="U616" s="326"/>
      <c r="V616" s="326"/>
      <c r="W616" s="326"/>
      <c r="X616" s="326"/>
    </row>
    <row r="617" spans="12:24" ht="15.75" customHeight="1">
      <c r="L617" s="326"/>
      <c r="M617" s="326"/>
      <c r="N617" s="326"/>
      <c r="O617" s="326"/>
      <c r="P617" s="326"/>
      <c r="Q617" s="326"/>
      <c r="R617" s="326"/>
      <c r="S617" s="326"/>
      <c r="T617" s="326"/>
      <c r="U617" s="326"/>
      <c r="V617" s="326"/>
      <c r="W617" s="326"/>
      <c r="X617" s="326"/>
    </row>
    <row r="618" spans="12:24" ht="15.75" customHeight="1">
      <c r="L618" s="326"/>
      <c r="M618" s="326"/>
      <c r="N618" s="326"/>
      <c r="O618" s="326"/>
      <c r="P618" s="326"/>
      <c r="Q618" s="326"/>
      <c r="R618" s="326"/>
      <c r="S618" s="326"/>
      <c r="T618" s="326"/>
      <c r="U618" s="326"/>
      <c r="V618" s="326"/>
      <c r="W618" s="326"/>
      <c r="X618" s="326"/>
    </row>
    <row r="619" spans="12:24" ht="15.75" customHeight="1">
      <c r="L619" s="326"/>
      <c r="M619" s="326"/>
      <c r="N619" s="326"/>
      <c r="O619" s="326"/>
      <c r="P619" s="326"/>
      <c r="Q619" s="326"/>
      <c r="R619" s="326"/>
      <c r="S619" s="326"/>
      <c r="T619" s="326"/>
      <c r="U619" s="326"/>
      <c r="V619" s="326"/>
      <c r="W619" s="326"/>
      <c r="X619" s="326"/>
    </row>
    <row r="620" spans="12:24" ht="15.75" customHeight="1">
      <c r="L620" s="326"/>
      <c r="M620" s="326"/>
      <c r="N620" s="326"/>
      <c r="O620" s="326"/>
      <c r="P620" s="326"/>
      <c r="Q620" s="326"/>
      <c r="R620" s="326"/>
      <c r="S620" s="326"/>
      <c r="T620" s="326"/>
      <c r="U620" s="326"/>
      <c r="V620" s="326"/>
      <c r="W620" s="326"/>
      <c r="X620" s="326"/>
    </row>
    <row r="621" spans="12:24" ht="15.75" customHeight="1">
      <c r="L621" s="326"/>
      <c r="M621" s="326"/>
      <c r="N621" s="326"/>
      <c r="O621" s="326"/>
      <c r="P621" s="326"/>
      <c r="Q621" s="326"/>
      <c r="R621" s="326"/>
      <c r="S621" s="326"/>
      <c r="T621" s="326"/>
      <c r="U621" s="326"/>
      <c r="V621" s="326"/>
      <c r="W621" s="326"/>
      <c r="X621" s="326"/>
    </row>
    <row r="622" spans="12:24" ht="15.75" customHeight="1">
      <c r="L622" s="326"/>
      <c r="M622" s="326"/>
      <c r="N622" s="326"/>
      <c r="O622" s="326"/>
      <c r="P622" s="326"/>
      <c r="Q622" s="326"/>
      <c r="R622" s="326"/>
      <c r="S622" s="326"/>
      <c r="T622" s="326"/>
      <c r="U622" s="326"/>
      <c r="V622" s="326"/>
      <c r="W622" s="326"/>
      <c r="X622" s="326"/>
    </row>
    <row r="623" spans="12:24" ht="15.75" customHeight="1">
      <c r="L623" s="326"/>
      <c r="M623" s="326"/>
      <c r="N623" s="326"/>
      <c r="O623" s="326"/>
      <c r="P623" s="326"/>
      <c r="Q623" s="326"/>
      <c r="R623" s="326"/>
      <c r="S623" s="326"/>
      <c r="T623" s="326"/>
      <c r="U623" s="326"/>
      <c r="V623" s="326"/>
      <c r="W623" s="326"/>
      <c r="X623" s="326"/>
    </row>
    <row r="624" spans="12:24" ht="15.75" customHeight="1">
      <c r="L624" s="326"/>
      <c r="M624" s="326"/>
      <c r="N624" s="326"/>
      <c r="O624" s="326"/>
      <c r="P624" s="326"/>
      <c r="Q624" s="326"/>
      <c r="R624" s="326"/>
      <c r="S624" s="326"/>
      <c r="T624" s="326"/>
      <c r="U624" s="326"/>
      <c r="V624" s="326"/>
      <c r="W624" s="326"/>
      <c r="X624" s="326"/>
    </row>
    <row r="625" spans="12:24" ht="15.75" customHeight="1">
      <c r="L625" s="326"/>
      <c r="M625" s="326"/>
      <c r="N625" s="326"/>
      <c r="O625" s="326"/>
      <c r="P625" s="326"/>
      <c r="Q625" s="326"/>
      <c r="R625" s="326"/>
      <c r="S625" s="326"/>
      <c r="T625" s="326"/>
      <c r="U625" s="326"/>
      <c r="V625" s="326"/>
      <c r="W625" s="326"/>
      <c r="X625" s="326"/>
    </row>
    <row r="626" spans="12:24" ht="15.75" customHeight="1">
      <c r="L626" s="326"/>
      <c r="M626" s="326"/>
      <c r="N626" s="326"/>
      <c r="O626" s="326"/>
      <c r="P626" s="326"/>
      <c r="Q626" s="326"/>
      <c r="R626" s="326"/>
      <c r="S626" s="326"/>
      <c r="T626" s="326"/>
      <c r="U626" s="326"/>
      <c r="V626" s="326"/>
      <c r="W626" s="326"/>
      <c r="X626" s="326"/>
    </row>
    <row r="627" spans="12:24" ht="15.75" customHeight="1">
      <c r="L627" s="326"/>
      <c r="M627" s="326"/>
      <c r="N627" s="326"/>
      <c r="O627" s="326"/>
      <c r="P627" s="326"/>
      <c r="Q627" s="326"/>
      <c r="R627" s="326"/>
      <c r="S627" s="326"/>
      <c r="T627" s="326"/>
      <c r="U627" s="326"/>
      <c r="V627" s="326"/>
      <c r="W627" s="326"/>
      <c r="X627" s="326"/>
    </row>
    <row r="628" spans="12:24" ht="15.75" customHeight="1">
      <c r="L628" s="326"/>
      <c r="M628" s="326"/>
      <c r="N628" s="326"/>
      <c r="O628" s="326"/>
      <c r="P628" s="326"/>
      <c r="Q628" s="326"/>
      <c r="R628" s="326"/>
      <c r="S628" s="326"/>
      <c r="T628" s="326"/>
      <c r="U628" s="326"/>
      <c r="V628" s="326"/>
      <c r="W628" s="326"/>
      <c r="X628" s="326"/>
    </row>
    <row r="629" spans="12:24" ht="15.75" customHeight="1">
      <c r="L629" s="326"/>
      <c r="M629" s="326"/>
      <c r="N629" s="326"/>
      <c r="O629" s="326"/>
      <c r="P629" s="326"/>
      <c r="Q629" s="326"/>
      <c r="R629" s="326"/>
      <c r="S629" s="326"/>
      <c r="T629" s="326"/>
      <c r="U629" s="326"/>
      <c r="V629" s="326"/>
      <c r="W629" s="326"/>
      <c r="X629" s="326"/>
    </row>
    <row r="630" spans="12:24" ht="15.75" customHeight="1">
      <c r="L630" s="326"/>
      <c r="M630" s="326"/>
      <c r="N630" s="326"/>
      <c r="O630" s="326"/>
      <c r="P630" s="326"/>
      <c r="Q630" s="326"/>
      <c r="R630" s="326"/>
      <c r="S630" s="326"/>
      <c r="T630" s="326"/>
      <c r="U630" s="326"/>
      <c r="V630" s="326"/>
      <c r="W630" s="326"/>
      <c r="X630" s="326"/>
    </row>
    <row r="631" spans="12:24" ht="15.75" customHeight="1">
      <c r="L631" s="326"/>
      <c r="M631" s="326"/>
      <c r="N631" s="326"/>
      <c r="O631" s="326"/>
      <c r="P631" s="326"/>
      <c r="Q631" s="326"/>
      <c r="R631" s="326"/>
      <c r="S631" s="326"/>
      <c r="T631" s="326"/>
      <c r="U631" s="326"/>
      <c r="V631" s="326"/>
      <c r="W631" s="326"/>
      <c r="X631" s="326"/>
    </row>
    <row r="632" spans="12:24" ht="15.75" customHeight="1">
      <c r="L632" s="326"/>
      <c r="M632" s="326"/>
      <c r="N632" s="326"/>
      <c r="O632" s="326"/>
      <c r="P632" s="326"/>
      <c r="Q632" s="326"/>
      <c r="R632" s="326"/>
      <c r="S632" s="326"/>
      <c r="T632" s="326"/>
      <c r="U632" s="326"/>
      <c r="V632" s="326"/>
      <c r="W632" s="326"/>
      <c r="X632" s="326"/>
    </row>
    <row r="633" spans="12:24" ht="15.75" customHeight="1">
      <c r="L633" s="326"/>
      <c r="M633" s="326"/>
      <c r="N633" s="326"/>
      <c r="O633" s="326"/>
      <c r="P633" s="326"/>
      <c r="Q633" s="326"/>
      <c r="R633" s="326"/>
      <c r="S633" s="326"/>
      <c r="T633" s="326"/>
      <c r="U633" s="326"/>
      <c r="V633" s="326"/>
      <c r="W633" s="326"/>
      <c r="X633" s="326"/>
    </row>
    <row r="634" spans="12:24" ht="15.75" customHeight="1">
      <c r="L634" s="326"/>
      <c r="M634" s="326"/>
      <c r="N634" s="326"/>
      <c r="O634" s="326"/>
      <c r="P634" s="326"/>
      <c r="Q634" s="326"/>
      <c r="R634" s="326"/>
      <c r="S634" s="326"/>
      <c r="T634" s="326"/>
      <c r="U634" s="326"/>
      <c r="V634" s="326"/>
      <c r="W634" s="326"/>
      <c r="X634" s="326"/>
    </row>
    <row r="635" spans="12:24" ht="15.75" customHeight="1">
      <c r="L635" s="326"/>
      <c r="M635" s="326"/>
      <c r="N635" s="326"/>
      <c r="O635" s="326"/>
      <c r="P635" s="326"/>
      <c r="Q635" s="326"/>
      <c r="R635" s="326"/>
      <c r="S635" s="326"/>
      <c r="T635" s="326"/>
      <c r="U635" s="326"/>
      <c r="V635" s="326"/>
      <c r="W635" s="326"/>
      <c r="X635" s="326"/>
    </row>
    <row r="636" spans="12:24" ht="15.75" customHeight="1">
      <c r="L636" s="326"/>
      <c r="M636" s="326"/>
      <c r="N636" s="326"/>
      <c r="O636" s="326"/>
      <c r="P636" s="326"/>
      <c r="Q636" s="326"/>
      <c r="R636" s="326"/>
      <c r="S636" s="326"/>
      <c r="T636" s="326"/>
      <c r="U636" s="326"/>
      <c r="V636" s="326"/>
      <c r="W636" s="326"/>
      <c r="X636" s="326"/>
    </row>
    <row r="637" spans="12:24" ht="15.75" customHeight="1">
      <c r="L637" s="326"/>
      <c r="M637" s="326"/>
      <c r="N637" s="326"/>
      <c r="O637" s="326"/>
      <c r="P637" s="326"/>
      <c r="Q637" s="326"/>
      <c r="R637" s="326"/>
      <c r="S637" s="326"/>
      <c r="T637" s="326"/>
      <c r="U637" s="326"/>
      <c r="V637" s="326"/>
      <c r="W637" s="326"/>
      <c r="X637" s="326"/>
    </row>
    <row r="638" spans="12:24" ht="15.75" customHeight="1">
      <c r="L638" s="326"/>
      <c r="M638" s="326"/>
      <c r="N638" s="326"/>
      <c r="O638" s="326"/>
      <c r="P638" s="326"/>
      <c r="Q638" s="326"/>
      <c r="R638" s="326"/>
      <c r="S638" s="326"/>
      <c r="T638" s="326"/>
      <c r="U638" s="326"/>
      <c r="V638" s="326"/>
      <c r="W638" s="326"/>
      <c r="X638" s="326"/>
    </row>
    <row r="639" spans="12:24" ht="15.75" customHeight="1">
      <c r="L639" s="326"/>
      <c r="M639" s="326"/>
      <c r="N639" s="326"/>
      <c r="O639" s="326"/>
      <c r="P639" s="326"/>
      <c r="Q639" s="326"/>
      <c r="R639" s="326"/>
      <c r="S639" s="326"/>
      <c r="T639" s="326"/>
      <c r="U639" s="326"/>
      <c r="V639" s="326"/>
      <c r="W639" s="326"/>
      <c r="X639" s="326"/>
    </row>
    <row r="640" spans="12:24" ht="15.75" customHeight="1">
      <c r="L640" s="326"/>
      <c r="M640" s="326"/>
      <c r="N640" s="326"/>
      <c r="O640" s="326"/>
      <c r="P640" s="326"/>
      <c r="Q640" s="326"/>
      <c r="R640" s="326"/>
      <c r="S640" s="326"/>
      <c r="T640" s="326"/>
      <c r="U640" s="326"/>
      <c r="V640" s="326"/>
      <c r="W640" s="326"/>
      <c r="X640" s="326"/>
    </row>
    <row r="641" spans="12:24" ht="15.75" customHeight="1">
      <c r="L641" s="326"/>
      <c r="M641" s="326"/>
      <c r="N641" s="326"/>
      <c r="O641" s="326"/>
      <c r="P641" s="326"/>
      <c r="Q641" s="326"/>
      <c r="R641" s="326"/>
      <c r="S641" s="326"/>
      <c r="T641" s="326"/>
      <c r="U641" s="326"/>
      <c r="V641" s="326"/>
      <c r="W641" s="326"/>
      <c r="X641" s="326"/>
    </row>
    <row r="642" spans="12:24" ht="15.75" customHeight="1">
      <c r="L642" s="326"/>
      <c r="M642" s="326"/>
      <c r="N642" s="326"/>
      <c r="O642" s="326"/>
      <c r="P642" s="326"/>
      <c r="Q642" s="326"/>
      <c r="R642" s="326"/>
      <c r="S642" s="326"/>
      <c r="T642" s="326"/>
      <c r="U642" s="326"/>
      <c r="V642" s="326"/>
      <c r="W642" s="326"/>
      <c r="X642" s="326"/>
    </row>
    <row r="643" spans="12:24" ht="15.75" customHeight="1">
      <c r="L643" s="326"/>
      <c r="M643" s="326"/>
      <c r="N643" s="326"/>
      <c r="O643" s="326"/>
      <c r="P643" s="326"/>
      <c r="Q643" s="326"/>
      <c r="R643" s="326"/>
      <c r="S643" s="326"/>
      <c r="T643" s="326"/>
      <c r="U643" s="326"/>
      <c r="V643" s="326"/>
      <c r="W643" s="326"/>
      <c r="X643" s="326"/>
    </row>
    <row r="644" spans="12:24" ht="15.75" customHeight="1">
      <c r="L644" s="326"/>
      <c r="M644" s="326"/>
      <c r="N644" s="326"/>
      <c r="O644" s="326"/>
      <c r="P644" s="326"/>
      <c r="Q644" s="326"/>
      <c r="R644" s="326"/>
      <c r="S644" s="326"/>
      <c r="T644" s="326"/>
      <c r="U644" s="326"/>
      <c r="V644" s="326"/>
      <c r="W644" s="326"/>
      <c r="X644" s="326"/>
    </row>
    <row r="645" spans="12:24" ht="15.75" customHeight="1">
      <c r="L645" s="326"/>
      <c r="M645" s="326"/>
      <c r="N645" s="326"/>
      <c r="O645" s="326"/>
      <c r="P645" s="326"/>
      <c r="Q645" s="326"/>
      <c r="R645" s="326"/>
      <c r="S645" s="326"/>
      <c r="T645" s="326"/>
      <c r="U645" s="326"/>
      <c r="V645" s="326"/>
      <c r="W645" s="326"/>
      <c r="X645" s="326"/>
    </row>
    <row r="646" spans="12:24" ht="15.75" customHeight="1">
      <c r="L646" s="326"/>
      <c r="M646" s="326"/>
      <c r="N646" s="326"/>
      <c r="O646" s="326"/>
      <c r="P646" s="326"/>
      <c r="Q646" s="326"/>
      <c r="R646" s="326"/>
      <c r="S646" s="326"/>
      <c r="T646" s="326"/>
      <c r="U646" s="326"/>
      <c r="V646" s="326"/>
      <c r="W646" s="326"/>
      <c r="X646" s="326"/>
    </row>
    <row r="647" spans="12:24" ht="15.75" customHeight="1">
      <c r="L647" s="326"/>
      <c r="M647" s="326"/>
      <c r="N647" s="326"/>
      <c r="O647" s="326"/>
      <c r="P647" s="326"/>
      <c r="Q647" s="326"/>
      <c r="R647" s="326"/>
      <c r="S647" s="326"/>
      <c r="T647" s="326"/>
      <c r="U647" s="326"/>
      <c r="V647" s="326"/>
      <c r="W647" s="326"/>
      <c r="X647" s="326"/>
    </row>
    <row r="648" spans="12:24" ht="15.75" customHeight="1">
      <c r="L648" s="326"/>
      <c r="M648" s="326"/>
      <c r="N648" s="326"/>
      <c r="O648" s="326"/>
      <c r="P648" s="326"/>
      <c r="Q648" s="326"/>
      <c r="R648" s="326"/>
      <c r="S648" s="326"/>
      <c r="T648" s="326"/>
      <c r="U648" s="326"/>
      <c r="V648" s="326"/>
      <c r="W648" s="326"/>
      <c r="X648" s="326"/>
    </row>
    <row r="649" spans="12:24" ht="15.75" customHeight="1">
      <c r="L649" s="326"/>
      <c r="M649" s="326"/>
      <c r="N649" s="326"/>
      <c r="O649" s="326"/>
      <c r="P649" s="326"/>
      <c r="Q649" s="326"/>
      <c r="R649" s="326"/>
      <c r="S649" s="326"/>
      <c r="T649" s="326"/>
      <c r="U649" s="326"/>
      <c r="V649" s="326"/>
      <c r="W649" s="326"/>
      <c r="X649" s="326"/>
    </row>
    <row r="650" spans="12:24" ht="15.75" customHeight="1">
      <c r="L650" s="326"/>
      <c r="M650" s="326"/>
      <c r="N650" s="326"/>
      <c r="O650" s="326"/>
      <c r="P650" s="326"/>
      <c r="Q650" s="326"/>
      <c r="R650" s="326"/>
      <c r="S650" s="326"/>
      <c r="T650" s="326"/>
      <c r="U650" s="326"/>
      <c r="V650" s="326"/>
      <c r="W650" s="326"/>
      <c r="X650" s="326"/>
    </row>
    <row r="651" spans="12:24" ht="15.75" customHeight="1">
      <c r="L651" s="326"/>
      <c r="M651" s="326"/>
      <c r="N651" s="326"/>
      <c r="O651" s="326"/>
      <c r="P651" s="326"/>
      <c r="Q651" s="326"/>
      <c r="R651" s="326"/>
      <c r="S651" s="326"/>
      <c r="T651" s="326"/>
      <c r="U651" s="326"/>
      <c r="V651" s="326"/>
      <c r="W651" s="326"/>
      <c r="X651" s="326"/>
    </row>
    <row r="652" spans="12:24" ht="15.75" customHeight="1">
      <c r="L652" s="326"/>
      <c r="M652" s="326"/>
      <c r="N652" s="326"/>
      <c r="O652" s="326"/>
      <c r="P652" s="326"/>
      <c r="Q652" s="326"/>
      <c r="R652" s="326"/>
      <c r="S652" s="326"/>
      <c r="T652" s="326"/>
      <c r="U652" s="326"/>
      <c r="V652" s="326"/>
      <c r="W652" s="326"/>
      <c r="X652" s="326"/>
    </row>
    <row r="653" spans="12:24" ht="15.75" customHeight="1">
      <c r="L653" s="326"/>
      <c r="M653" s="326"/>
      <c r="N653" s="326"/>
      <c r="O653" s="326"/>
      <c r="P653" s="326"/>
      <c r="Q653" s="326"/>
      <c r="R653" s="326"/>
      <c r="S653" s="326"/>
      <c r="T653" s="326"/>
      <c r="U653" s="326"/>
      <c r="V653" s="326"/>
      <c r="W653" s="326"/>
      <c r="X653" s="326"/>
    </row>
    <row r="654" spans="12:24" ht="15.75" customHeight="1">
      <c r="L654" s="326"/>
      <c r="M654" s="326"/>
      <c r="N654" s="326"/>
      <c r="O654" s="326"/>
      <c r="P654" s="326"/>
      <c r="Q654" s="326"/>
      <c r="R654" s="326"/>
      <c r="S654" s="326"/>
      <c r="T654" s="326"/>
      <c r="U654" s="326"/>
      <c r="V654" s="326"/>
      <c r="W654" s="326"/>
      <c r="X654" s="326"/>
    </row>
    <row r="655" spans="12:24" ht="15.75" customHeight="1">
      <c r="L655" s="326"/>
      <c r="M655" s="326"/>
      <c r="N655" s="326"/>
      <c r="O655" s="326"/>
      <c r="P655" s="326"/>
      <c r="Q655" s="326"/>
      <c r="R655" s="326"/>
      <c r="S655" s="326"/>
      <c r="T655" s="326"/>
      <c r="U655" s="326"/>
      <c r="V655" s="326"/>
      <c r="W655" s="326"/>
      <c r="X655" s="326"/>
    </row>
    <row r="656" spans="12:24" ht="15.75" customHeight="1">
      <c r="L656" s="326"/>
      <c r="M656" s="326"/>
      <c r="N656" s="326"/>
      <c r="O656" s="326"/>
      <c r="P656" s="326"/>
      <c r="Q656" s="326"/>
      <c r="R656" s="326"/>
      <c r="S656" s="326"/>
      <c r="T656" s="326"/>
      <c r="U656" s="326"/>
      <c r="V656" s="326"/>
      <c r="W656" s="326"/>
      <c r="X656" s="326"/>
    </row>
    <row r="657" spans="12:24" ht="15.75" customHeight="1">
      <c r="L657" s="326"/>
      <c r="M657" s="326"/>
      <c r="N657" s="326"/>
      <c r="O657" s="326"/>
      <c r="P657" s="326"/>
      <c r="Q657" s="326"/>
      <c r="R657" s="326"/>
      <c r="S657" s="326"/>
      <c r="T657" s="326"/>
      <c r="U657" s="326"/>
      <c r="V657" s="326"/>
      <c r="W657" s="326"/>
      <c r="X657" s="326"/>
    </row>
    <row r="658" spans="12:24" ht="15.75" customHeight="1">
      <c r="L658" s="326"/>
      <c r="M658" s="326"/>
      <c r="N658" s="326"/>
      <c r="O658" s="326"/>
      <c r="P658" s="326"/>
      <c r="Q658" s="326"/>
      <c r="R658" s="326"/>
      <c r="S658" s="326"/>
      <c r="T658" s="326"/>
      <c r="U658" s="326"/>
      <c r="V658" s="326"/>
      <c r="W658" s="326"/>
      <c r="X658" s="326"/>
    </row>
    <row r="659" spans="12:24" ht="15.75" customHeight="1">
      <c r="L659" s="326"/>
      <c r="M659" s="326"/>
      <c r="N659" s="326"/>
      <c r="O659" s="326"/>
      <c r="P659" s="326"/>
      <c r="Q659" s="326"/>
      <c r="R659" s="326"/>
      <c r="S659" s="326"/>
      <c r="T659" s="326"/>
      <c r="U659" s="326"/>
      <c r="V659" s="326"/>
      <c r="W659" s="326"/>
      <c r="X659" s="326"/>
    </row>
    <row r="660" spans="12:24" ht="15.75" customHeight="1">
      <c r="L660" s="326"/>
      <c r="M660" s="326"/>
      <c r="N660" s="326"/>
      <c r="O660" s="326"/>
      <c r="P660" s="326"/>
      <c r="Q660" s="326"/>
      <c r="R660" s="326"/>
      <c r="S660" s="326"/>
      <c r="T660" s="326"/>
      <c r="U660" s="326"/>
      <c r="V660" s="326"/>
      <c r="W660" s="326"/>
      <c r="X660" s="326"/>
    </row>
    <row r="661" spans="12:24" ht="15.75" customHeight="1">
      <c r="L661" s="326"/>
      <c r="M661" s="326"/>
      <c r="N661" s="326"/>
      <c r="O661" s="326"/>
      <c r="P661" s="326"/>
      <c r="Q661" s="326"/>
      <c r="R661" s="326"/>
      <c r="S661" s="326"/>
      <c r="T661" s="326"/>
      <c r="U661" s="326"/>
      <c r="V661" s="326"/>
      <c r="W661" s="326"/>
      <c r="X661" s="326"/>
    </row>
    <row r="662" spans="12:24" ht="15.75" customHeight="1">
      <c r="L662" s="326"/>
      <c r="M662" s="326"/>
      <c r="N662" s="326"/>
      <c r="O662" s="326"/>
      <c r="P662" s="326"/>
      <c r="Q662" s="326"/>
      <c r="R662" s="326"/>
      <c r="S662" s="326"/>
      <c r="T662" s="326"/>
      <c r="U662" s="326"/>
      <c r="V662" s="326"/>
      <c r="W662" s="326"/>
      <c r="X662" s="326"/>
    </row>
    <row r="663" spans="12:24" ht="15.75" customHeight="1">
      <c r="L663" s="326"/>
      <c r="M663" s="326"/>
      <c r="N663" s="326"/>
      <c r="O663" s="326"/>
      <c r="P663" s="326"/>
      <c r="Q663" s="326"/>
      <c r="R663" s="326"/>
      <c r="S663" s="326"/>
      <c r="T663" s="326"/>
      <c r="U663" s="326"/>
      <c r="V663" s="326"/>
      <c r="W663" s="326"/>
      <c r="X663" s="326"/>
    </row>
    <row r="664" spans="12:24" ht="15.75" customHeight="1">
      <c r="L664" s="326"/>
      <c r="M664" s="326"/>
      <c r="N664" s="326"/>
      <c r="O664" s="326"/>
      <c r="P664" s="326"/>
      <c r="Q664" s="326"/>
      <c r="R664" s="326"/>
      <c r="S664" s="326"/>
      <c r="T664" s="326"/>
      <c r="U664" s="326"/>
      <c r="V664" s="326"/>
      <c r="W664" s="326"/>
      <c r="X664" s="326"/>
    </row>
    <row r="665" spans="12:24" ht="15.75" customHeight="1">
      <c r="L665" s="326"/>
      <c r="M665" s="326"/>
      <c r="N665" s="326"/>
      <c r="O665" s="326"/>
      <c r="P665" s="326"/>
      <c r="Q665" s="326"/>
      <c r="R665" s="326"/>
      <c r="S665" s="326"/>
      <c r="T665" s="326"/>
      <c r="U665" s="326"/>
      <c r="V665" s="326"/>
      <c r="W665" s="326"/>
      <c r="X665" s="326"/>
    </row>
    <row r="666" spans="12:24" ht="15.75" customHeight="1">
      <c r="L666" s="326"/>
      <c r="M666" s="326"/>
      <c r="N666" s="326"/>
      <c r="O666" s="326"/>
      <c r="P666" s="326"/>
      <c r="Q666" s="326"/>
      <c r="R666" s="326"/>
      <c r="S666" s="326"/>
      <c r="T666" s="326"/>
      <c r="U666" s="326"/>
      <c r="V666" s="326"/>
      <c r="W666" s="326"/>
      <c r="X666" s="326"/>
    </row>
    <row r="667" spans="12:24" ht="15.75" customHeight="1">
      <c r="L667" s="326"/>
      <c r="M667" s="326"/>
      <c r="N667" s="326"/>
      <c r="O667" s="326"/>
      <c r="P667" s="326"/>
      <c r="Q667" s="326"/>
      <c r="R667" s="326"/>
      <c r="S667" s="326"/>
      <c r="T667" s="326"/>
      <c r="U667" s="326"/>
      <c r="V667" s="326"/>
      <c r="W667" s="326"/>
      <c r="X667" s="326"/>
    </row>
    <row r="668" spans="12:24" ht="15.75" customHeight="1">
      <c r="L668" s="326"/>
      <c r="M668" s="326"/>
      <c r="N668" s="326"/>
      <c r="O668" s="326"/>
      <c r="P668" s="326"/>
      <c r="Q668" s="326"/>
      <c r="R668" s="326"/>
      <c r="S668" s="326"/>
      <c r="T668" s="326"/>
      <c r="U668" s="326"/>
      <c r="V668" s="326"/>
      <c r="W668" s="326"/>
      <c r="X668" s="326"/>
    </row>
    <row r="669" spans="12:24" ht="15.75" customHeight="1">
      <c r="L669" s="326"/>
      <c r="M669" s="326"/>
      <c r="N669" s="326"/>
      <c r="O669" s="326"/>
      <c r="P669" s="326"/>
      <c r="Q669" s="326"/>
      <c r="R669" s="326"/>
      <c r="S669" s="326"/>
      <c r="T669" s="326"/>
      <c r="U669" s="326"/>
      <c r="V669" s="326"/>
      <c r="W669" s="326"/>
      <c r="X669" s="326"/>
    </row>
    <row r="670" spans="12:24" ht="15.75" customHeight="1">
      <c r="L670" s="326"/>
      <c r="M670" s="326"/>
      <c r="N670" s="326"/>
      <c r="O670" s="326"/>
      <c r="P670" s="326"/>
      <c r="Q670" s="326"/>
      <c r="R670" s="326"/>
      <c r="S670" s="326"/>
      <c r="T670" s="326"/>
      <c r="U670" s="326"/>
      <c r="V670" s="326"/>
      <c r="W670" s="326"/>
      <c r="X670" s="326"/>
    </row>
    <row r="671" spans="12:24" ht="15.75" customHeight="1">
      <c r="L671" s="326"/>
      <c r="M671" s="326"/>
      <c r="N671" s="326"/>
      <c r="O671" s="326"/>
      <c r="P671" s="326"/>
      <c r="Q671" s="326"/>
      <c r="R671" s="326"/>
      <c r="S671" s="326"/>
      <c r="T671" s="326"/>
      <c r="U671" s="326"/>
      <c r="V671" s="326"/>
      <c r="W671" s="326"/>
      <c r="X671" s="326"/>
    </row>
    <row r="672" spans="12:24" ht="15.75" customHeight="1">
      <c r="L672" s="326"/>
      <c r="M672" s="326"/>
      <c r="N672" s="326"/>
      <c r="O672" s="326"/>
      <c r="P672" s="326"/>
      <c r="Q672" s="326"/>
      <c r="R672" s="326"/>
      <c r="S672" s="326"/>
      <c r="T672" s="326"/>
      <c r="U672" s="326"/>
      <c r="V672" s="326"/>
      <c r="W672" s="326"/>
      <c r="X672" s="326"/>
    </row>
    <row r="673" spans="12:24" ht="15.75" customHeight="1">
      <c r="L673" s="326"/>
      <c r="M673" s="326"/>
      <c r="N673" s="326"/>
      <c r="O673" s="326"/>
      <c r="P673" s="326"/>
      <c r="Q673" s="326"/>
      <c r="R673" s="326"/>
      <c r="S673" s="326"/>
      <c r="T673" s="326"/>
      <c r="U673" s="326"/>
      <c r="V673" s="326"/>
      <c r="W673" s="326"/>
      <c r="X673" s="326"/>
    </row>
    <row r="674" spans="12:24" ht="15.75" customHeight="1">
      <c r="L674" s="326"/>
      <c r="M674" s="326"/>
      <c r="N674" s="326"/>
      <c r="O674" s="326"/>
      <c r="P674" s="326"/>
      <c r="Q674" s="326"/>
      <c r="R674" s="326"/>
      <c r="S674" s="326"/>
      <c r="T674" s="326"/>
      <c r="U674" s="326"/>
      <c r="V674" s="326"/>
      <c r="W674" s="326"/>
      <c r="X674" s="326"/>
    </row>
    <row r="675" spans="12:24" ht="15.75" customHeight="1">
      <c r="L675" s="326"/>
      <c r="M675" s="326"/>
      <c r="N675" s="326"/>
      <c r="O675" s="326"/>
      <c r="P675" s="326"/>
      <c r="Q675" s="326"/>
      <c r="R675" s="326"/>
      <c r="S675" s="326"/>
      <c r="T675" s="326"/>
      <c r="U675" s="326"/>
      <c r="V675" s="326"/>
      <c r="W675" s="326"/>
      <c r="X675" s="326"/>
    </row>
    <row r="676" spans="12:24" ht="15.75" customHeight="1">
      <c r="L676" s="326"/>
      <c r="M676" s="326"/>
      <c r="N676" s="326"/>
      <c r="O676" s="326"/>
      <c r="P676" s="326"/>
      <c r="Q676" s="326"/>
      <c r="R676" s="326"/>
      <c r="S676" s="326"/>
      <c r="T676" s="326"/>
      <c r="U676" s="326"/>
      <c r="V676" s="326"/>
      <c r="W676" s="326"/>
      <c r="X676" s="326"/>
    </row>
    <row r="677" spans="12:24" ht="15.75" customHeight="1">
      <c r="L677" s="326"/>
      <c r="M677" s="326"/>
      <c r="N677" s="326"/>
      <c r="O677" s="326"/>
      <c r="P677" s="326"/>
      <c r="Q677" s="326"/>
      <c r="R677" s="326"/>
      <c r="S677" s="326"/>
      <c r="T677" s="326"/>
      <c r="U677" s="326"/>
      <c r="V677" s="326"/>
      <c r="W677" s="326"/>
      <c r="X677" s="326"/>
    </row>
    <row r="678" spans="12:24" ht="15.75" customHeight="1">
      <c r="L678" s="326"/>
      <c r="M678" s="326"/>
      <c r="N678" s="326"/>
      <c r="O678" s="326"/>
      <c r="P678" s="326"/>
      <c r="Q678" s="326"/>
      <c r="R678" s="326"/>
      <c r="S678" s="326"/>
      <c r="T678" s="326"/>
      <c r="U678" s="326"/>
      <c r="V678" s="326"/>
      <c r="W678" s="326"/>
      <c r="X678" s="326"/>
    </row>
    <row r="679" spans="12:24" ht="15.75" customHeight="1">
      <c r="L679" s="326"/>
      <c r="M679" s="326"/>
      <c r="N679" s="326"/>
      <c r="O679" s="326"/>
      <c r="P679" s="326"/>
      <c r="Q679" s="326"/>
      <c r="R679" s="326"/>
      <c r="S679" s="326"/>
      <c r="T679" s="326"/>
      <c r="U679" s="326"/>
      <c r="V679" s="326"/>
      <c r="W679" s="326"/>
      <c r="X679" s="326"/>
    </row>
    <row r="680" spans="12:24" ht="15.75" customHeight="1">
      <c r="L680" s="326"/>
      <c r="M680" s="326"/>
      <c r="N680" s="326"/>
      <c r="O680" s="326"/>
      <c r="P680" s="326"/>
      <c r="Q680" s="326"/>
      <c r="R680" s="326"/>
      <c r="S680" s="326"/>
      <c r="T680" s="326"/>
      <c r="U680" s="326"/>
      <c r="V680" s="326"/>
      <c r="W680" s="326"/>
      <c r="X680" s="326"/>
    </row>
    <row r="681" spans="12:24" ht="15.75" customHeight="1">
      <c r="L681" s="326"/>
      <c r="M681" s="326"/>
      <c r="N681" s="326"/>
      <c r="O681" s="326"/>
      <c r="P681" s="326"/>
      <c r="Q681" s="326"/>
      <c r="R681" s="326"/>
      <c r="S681" s="326"/>
      <c r="T681" s="326"/>
      <c r="U681" s="326"/>
      <c r="V681" s="326"/>
      <c r="W681" s="326"/>
      <c r="X681" s="326"/>
    </row>
    <row r="682" spans="12:24" ht="15.75" customHeight="1">
      <c r="L682" s="326"/>
      <c r="M682" s="326"/>
      <c r="N682" s="326"/>
      <c r="O682" s="326"/>
      <c r="P682" s="326"/>
      <c r="Q682" s="326"/>
      <c r="R682" s="326"/>
      <c r="S682" s="326"/>
      <c r="T682" s="326"/>
      <c r="U682" s="326"/>
      <c r="V682" s="326"/>
      <c r="W682" s="326"/>
      <c r="X682" s="326"/>
    </row>
    <row r="683" spans="12:24" ht="15.75" customHeight="1">
      <c r="L683" s="326"/>
      <c r="M683" s="326"/>
      <c r="N683" s="326"/>
      <c r="O683" s="326"/>
      <c r="P683" s="326"/>
      <c r="Q683" s="326"/>
      <c r="R683" s="326"/>
      <c r="S683" s="326"/>
      <c r="T683" s="326"/>
      <c r="U683" s="326"/>
      <c r="V683" s="326"/>
      <c r="W683" s="326"/>
      <c r="X683" s="326"/>
    </row>
    <row r="684" spans="12:24" ht="15.75" customHeight="1">
      <c r="L684" s="326"/>
      <c r="M684" s="326"/>
      <c r="N684" s="326"/>
      <c r="O684" s="326"/>
      <c r="P684" s="326"/>
      <c r="Q684" s="326"/>
      <c r="R684" s="326"/>
      <c r="S684" s="326"/>
      <c r="T684" s="326"/>
      <c r="U684" s="326"/>
      <c r="V684" s="326"/>
      <c r="W684" s="326"/>
      <c r="X684" s="326"/>
    </row>
    <row r="685" spans="12:24" ht="15.75" customHeight="1">
      <c r="L685" s="326"/>
      <c r="M685" s="326"/>
      <c r="N685" s="326"/>
      <c r="O685" s="326"/>
      <c r="P685" s="326"/>
      <c r="Q685" s="326"/>
      <c r="R685" s="326"/>
      <c r="S685" s="326"/>
      <c r="T685" s="326"/>
      <c r="U685" s="326"/>
      <c r="V685" s="326"/>
      <c r="W685" s="326"/>
      <c r="X685" s="326"/>
    </row>
    <row r="686" spans="12:24" ht="15.75" customHeight="1">
      <c r="L686" s="326"/>
      <c r="M686" s="326"/>
      <c r="N686" s="326"/>
      <c r="O686" s="326"/>
      <c r="P686" s="326"/>
      <c r="Q686" s="326"/>
      <c r="R686" s="326"/>
      <c r="S686" s="326"/>
      <c r="T686" s="326"/>
      <c r="U686" s="326"/>
      <c r="V686" s="326"/>
      <c r="W686" s="326"/>
      <c r="X686" s="326"/>
    </row>
    <row r="687" spans="12:24" ht="15.75" customHeight="1">
      <c r="L687" s="326"/>
      <c r="M687" s="326"/>
      <c r="N687" s="326"/>
      <c r="O687" s="326"/>
      <c r="P687" s="326"/>
      <c r="Q687" s="326"/>
      <c r="R687" s="326"/>
      <c r="S687" s="326"/>
      <c r="T687" s="326"/>
      <c r="U687" s="326"/>
      <c r="V687" s="326"/>
      <c r="W687" s="326"/>
      <c r="X687" s="326"/>
    </row>
    <row r="688" spans="12:24" ht="15.75" customHeight="1">
      <c r="L688" s="326"/>
      <c r="M688" s="326"/>
      <c r="N688" s="326"/>
      <c r="O688" s="326"/>
      <c r="P688" s="326"/>
      <c r="Q688" s="326"/>
      <c r="R688" s="326"/>
      <c r="S688" s="326"/>
      <c r="T688" s="326"/>
      <c r="U688" s="326"/>
      <c r="V688" s="326"/>
      <c r="W688" s="326"/>
      <c r="X688" s="326"/>
    </row>
    <row r="689" spans="12:24" ht="15.75" customHeight="1">
      <c r="L689" s="326"/>
      <c r="M689" s="326"/>
      <c r="N689" s="326"/>
      <c r="O689" s="326"/>
      <c r="P689" s="326"/>
      <c r="Q689" s="326"/>
      <c r="R689" s="326"/>
      <c r="S689" s="326"/>
      <c r="T689" s="326"/>
      <c r="U689" s="326"/>
      <c r="V689" s="326"/>
      <c r="W689" s="326"/>
      <c r="X689" s="326"/>
    </row>
    <row r="690" spans="12:24" ht="15.75" customHeight="1">
      <c r="L690" s="326"/>
      <c r="M690" s="326"/>
      <c r="N690" s="326"/>
      <c r="O690" s="326"/>
      <c r="P690" s="326"/>
      <c r="Q690" s="326"/>
      <c r="R690" s="326"/>
      <c r="S690" s="326"/>
      <c r="T690" s="326"/>
      <c r="U690" s="326"/>
      <c r="V690" s="326"/>
      <c r="W690" s="326"/>
      <c r="X690" s="326"/>
    </row>
    <row r="691" spans="12:24" ht="15.75" customHeight="1">
      <c r="L691" s="326"/>
      <c r="M691" s="326"/>
      <c r="N691" s="326"/>
      <c r="O691" s="326"/>
      <c r="P691" s="326"/>
      <c r="Q691" s="326"/>
      <c r="R691" s="326"/>
      <c r="S691" s="326"/>
      <c r="T691" s="326"/>
      <c r="U691" s="326"/>
      <c r="V691" s="326"/>
      <c r="W691" s="326"/>
      <c r="X691" s="326"/>
    </row>
    <row r="692" spans="12:24" ht="15.75" customHeight="1">
      <c r="L692" s="326"/>
      <c r="M692" s="326"/>
      <c r="N692" s="326"/>
      <c r="O692" s="326"/>
      <c r="P692" s="326"/>
      <c r="Q692" s="326"/>
      <c r="R692" s="326"/>
      <c r="S692" s="326"/>
      <c r="T692" s="326"/>
      <c r="U692" s="326"/>
      <c r="V692" s="326"/>
      <c r="W692" s="326"/>
      <c r="X692" s="326"/>
    </row>
    <row r="693" spans="12:24" ht="15.75" customHeight="1">
      <c r="L693" s="326"/>
      <c r="M693" s="326"/>
      <c r="N693" s="326"/>
      <c r="O693" s="326"/>
      <c r="P693" s="326"/>
      <c r="Q693" s="326"/>
      <c r="R693" s="326"/>
      <c r="S693" s="326"/>
      <c r="T693" s="326"/>
      <c r="U693" s="326"/>
      <c r="V693" s="326"/>
      <c r="W693" s="326"/>
      <c r="X693" s="326"/>
    </row>
    <row r="694" spans="12:24" ht="15.75" customHeight="1">
      <c r="L694" s="326"/>
      <c r="M694" s="326"/>
      <c r="N694" s="326"/>
      <c r="O694" s="326"/>
      <c r="P694" s="326"/>
      <c r="Q694" s="326"/>
      <c r="R694" s="326"/>
      <c r="S694" s="326"/>
      <c r="T694" s="326"/>
      <c r="U694" s="326"/>
      <c r="V694" s="326"/>
      <c r="W694" s="326"/>
      <c r="X694" s="326"/>
    </row>
    <row r="695" spans="12:24" ht="15.75" customHeight="1">
      <c r="L695" s="326"/>
      <c r="M695" s="326"/>
      <c r="N695" s="326"/>
      <c r="O695" s="326"/>
      <c r="P695" s="326"/>
      <c r="Q695" s="326"/>
      <c r="R695" s="326"/>
      <c r="S695" s="326"/>
      <c r="T695" s="326"/>
      <c r="U695" s="326"/>
      <c r="V695" s="326"/>
      <c r="W695" s="326"/>
      <c r="X695" s="326"/>
    </row>
    <row r="696" spans="12:24" ht="15.75" customHeight="1">
      <c r="L696" s="326"/>
      <c r="M696" s="326"/>
      <c r="N696" s="326"/>
      <c r="O696" s="326"/>
      <c r="P696" s="326"/>
      <c r="Q696" s="326"/>
      <c r="R696" s="326"/>
      <c r="S696" s="326"/>
      <c r="T696" s="326"/>
      <c r="U696" s="326"/>
      <c r="V696" s="326"/>
      <c r="W696" s="326"/>
      <c r="X696" s="326"/>
    </row>
    <row r="697" spans="12:24" ht="15.75" customHeight="1">
      <c r="L697" s="326"/>
      <c r="M697" s="326"/>
      <c r="N697" s="326"/>
      <c r="O697" s="326"/>
      <c r="P697" s="326"/>
      <c r="Q697" s="326"/>
      <c r="R697" s="326"/>
      <c r="S697" s="326"/>
      <c r="T697" s="326"/>
      <c r="U697" s="326"/>
      <c r="V697" s="326"/>
      <c r="W697" s="326"/>
      <c r="X697" s="326"/>
    </row>
    <row r="698" spans="12:24" ht="15.75" customHeight="1">
      <c r="L698" s="326"/>
      <c r="M698" s="326"/>
      <c r="N698" s="326"/>
      <c r="O698" s="326"/>
      <c r="P698" s="326"/>
      <c r="Q698" s="326"/>
      <c r="R698" s="326"/>
      <c r="S698" s="326"/>
      <c r="T698" s="326"/>
      <c r="U698" s="326"/>
      <c r="V698" s="326"/>
      <c r="W698" s="326"/>
      <c r="X698" s="326"/>
    </row>
    <row r="699" spans="12:24" ht="15.75" customHeight="1">
      <c r="L699" s="326"/>
      <c r="M699" s="326"/>
      <c r="N699" s="326"/>
      <c r="O699" s="326"/>
      <c r="P699" s="326"/>
      <c r="Q699" s="326"/>
      <c r="R699" s="326"/>
      <c r="S699" s="326"/>
      <c r="T699" s="326"/>
      <c r="U699" s="326"/>
      <c r="V699" s="326"/>
      <c r="W699" s="326"/>
      <c r="X699" s="326"/>
    </row>
    <row r="700" spans="12:24" ht="15.75" customHeight="1">
      <c r="L700" s="326"/>
      <c r="M700" s="326"/>
      <c r="N700" s="326"/>
      <c r="O700" s="326"/>
      <c r="P700" s="326"/>
      <c r="Q700" s="326"/>
      <c r="R700" s="326"/>
      <c r="S700" s="326"/>
      <c r="T700" s="326"/>
      <c r="U700" s="326"/>
      <c r="V700" s="326"/>
      <c r="W700" s="326"/>
      <c r="X700" s="326"/>
    </row>
    <row r="701" spans="12:24" ht="15.75" customHeight="1">
      <c r="L701" s="326"/>
      <c r="M701" s="326"/>
      <c r="N701" s="326"/>
      <c r="O701" s="326"/>
      <c r="P701" s="326"/>
      <c r="Q701" s="326"/>
      <c r="R701" s="326"/>
      <c r="S701" s="326"/>
      <c r="T701" s="326"/>
      <c r="U701" s="326"/>
      <c r="V701" s="326"/>
      <c r="W701" s="326"/>
      <c r="X701" s="326"/>
    </row>
    <row r="702" spans="12:24" ht="15.75" customHeight="1">
      <c r="L702" s="326"/>
      <c r="M702" s="326"/>
      <c r="N702" s="326"/>
      <c r="O702" s="326"/>
      <c r="P702" s="326"/>
      <c r="Q702" s="326"/>
      <c r="R702" s="326"/>
      <c r="S702" s="326"/>
      <c r="T702" s="326"/>
      <c r="U702" s="326"/>
      <c r="V702" s="326"/>
      <c r="W702" s="326"/>
      <c r="X702" s="326"/>
    </row>
    <row r="703" spans="12:24" ht="15.75" customHeight="1">
      <c r="L703" s="326"/>
      <c r="M703" s="326"/>
      <c r="N703" s="326"/>
      <c r="O703" s="326"/>
      <c r="P703" s="326"/>
      <c r="Q703" s="326"/>
      <c r="R703" s="326"/>
      <c r="S703" s="326"/>
      <c r="T703" s="326"/>
      <c r="U703" s="326"/>
      <c r="V703" s="326"/>
      <c r="W703" s="326"/>
      <c r="X703" s="326"/>
    </row>
    <row r="704" spans="12:24" ht="15.75" customHeight="1">
      <c r="L704" s="326"/>
      <c r="M704" s="326"/>
      <c r="N704" s="326"/>
      <c r="O704" s="326"/>
      <c r="P704" s="326"/>
      <c r="Q704" s="326"/>
      <c r="R704" s="326"/>
      <c r="S704" s="326"/>
      <c r="T704" s="326"/>
      <c r="U704" s="326"/>
      <c r="V704" s="326"/>
      <c r="W704" s="326"/>
      <c r="X704" s="326"/>
    </row>
    <row r="705" spans="12:24" ht="15.75" customHeight="1">
      <c r="L705" s="326"/>
      <c r="M705" s="326"/>
      <c r="N705" s="326"/>
      <c r="O705" s="326"/>
      <c r="P705" s="326"/>
      <c r="Q705" s="326"/>
      <c r="R705" s="326"/>
      <c r="S705" s="326"/>
      <c r="T705" s="326"/>
      <c r="U705" s="326"/>
      <c r="V705" s="326"/>
      <c r="W705" s="326"/>
      <c r="X705" s="326"/>
    </row>
    <row r="706" spans="12:24" ht="15.75" customHeight="1">
      <c r="L706" s="326"/>
      <c r="M706" s="326"/>
      <c r="N706" s="326"/>
      <c r="O706" s="326"/>
      <c r="P706" s="326"/>
      <c r="Q706" s="326"/>
      <c r="R706" s="326"/>
      <c r="S706" s="326"/>
      <c r="T706" s="326"/>
      <c r="U706" s="326"/>
      <c r="V706" s="326"/>
      <c r="W706" s="326"/>
      <c r="X706" s="326"/>
    </row>
    <row r="707" spans="12:24" ht="15.75" customHeight="1">
      <c r="L707" s="326"/>
      <c r="M707" s="326"/>
      <c r="N707" s="326"/>
      <c r="O707" s="326"/>
      <c r="P707" s="326"/>
      <c r="Q707" s="326"/>
      <c r="R707" s="326"/>
      <c r="S707" s="326"/>
      <c r="T707" s="326"/>
      <c r="U707" s="326"/>
      <c r="V707" s="326"/>
      <c r="W707" s="326"/>
      <c r="X707" s="326"/>
    </row>
    <row r="708" spans="12:24" ht="15.75" customHeight="1">
      <c r="L708" s="326"/>
      <c r="M708" s="326"/>
      <c r="N708" s="326"/>
      <c r="O708" s="326"/>
      <c r="P708" s="326"/>
      <c r="Q708" s="326"/>
      <c r="R708" s="326"/>
      <c r="S708" s="326"/>
      <c r="T708" s="326"/>
      <c r="U708" s="326"/>
      <c r="V708" s="326"/>
      <c r="W708" s="326"/>
      <c r="X708" s="326"/>
    </row>
    <row r="709" spans="12:24" ht="15.75" customHeight="1">
      <c r="L709" s="326"/>
      <c r="M709" s="326"/>
      <c r="N709" s="326"/>
      <c r="O709" s="326"/>
      <c r="P709" s="326"/>
      <c r="Q709" s="326"/>
      <c r="R709" s="326"/>
      <c r="S709" s="326"/>
      <c r="T709" s="326"/>
      <c r="U709" s="326"/>
      <c r="V709" s="326"/>
      <c r="W709" s="326"/>
      <c r="X709" s="326"/>
    </row>
    <row r="710" spans="12:24" ht="15.75" customHeight="1">
      <c r="L710" s="326"/>
      <c r="M710" s="326"/>
      <c r="N710" s="326"/>
      <c r="O710" s="326"/>
      <c r="P710" s="326"/>
      <c r="Q710" s="326"/>
      <c r="R710" s="326"/>
      <c r="S710" s="326"/>
      <c r="T710" s="326"/>
      <c r="U710" s="326"/>
      <c r="V710" s="326"/>
      <c r="W710" s="326"/>
      <c r="X710" s="326"/>
    </row>
    <row r="711" spans="12:24" ht="15.75" customHeight="1">
      <c r="L711" s="326"/>
      <c r="M711" s="326"/>
      <c r="N711" s="326"/>
      <c r="O711" s="326"/>
      <c r="P711" s="326"/>
      <c r="Q711" s="326"/>
      <c r="R711" s="326"/>
      <c r="S711" s="326"/>
      <c r="T711" s="326"/>
      <c r="U711" s="326"/>
      <c r="V711" s="326"/>
      <c r="W711" s="326"/>
      <c r="X711" s="326"/>
    </row>
    <row r="712" spans="12:24" ht="15.75" customHeight="1">
      <c r="L712" s="326"/>
      <c r="M712" s="326"/>
      <c r="N712" s="326"/>
      <c r="O712" s="326"/>
      <c r="P712" s="326"/>
      <c r="Q712" s="326"/>
      <c r="R712" s="326"/>
      <c r="S712" s="326"/>
      <c r="T712" s="326"/>
      <c r="U712" s="326"/>
      <c r="V712" s="326"/>
      <c r="W712" s="326"/>
      <c r="X712" s="326"/>
    </row>
    <row r="713" spans="12:24" ht="15.75" customHeight="1">
      <c r="L713" s="326"/>
      <c r="M713" s="326"/>
      <c r="N713" s="326"/>
      <c r="O713" s="326"/>
      <c r="P713" s="326"/>
      <c r="Q713" s="326"/>
      <c r="R713" s="326"/>
      <c r="S713" s="326"/>
      <c r="T713" s="326"/>
      <c r="U713" s="326"/>
      <c r="V713" s="326"/>
      <c r="W713" s="326"/>
      <c r="X713" s="326"/>
    </row>
    <row r="714" spans="12:24" ht="15.75" customHeight="1">
      <c r="L714" s="326"/>
      <c r="M714" s="326"/>
      <c r="N714" s="326"/>
      <c r="O714" s="326"/>
      <c r="P714" s="326"/>
      <c r="Q714" s="326"/>
      <c r="R714" s="326"/>
      <c r="S714" s="326"/>
      <c r="T714" s="326"/>
      <c r="U714" s="326"/>
      <c r="V714" s="326"/>
      <c r="W714" s="326"/>
      <c r="X714" s="326"/>
    </row>
    <row r="715" spans="12:24" ht="15.75" customHeight="1">
      <c r="L715" s="326"/>
      <c r="M715" s="326"/>
      <c r="N715" s="326"/>
      <c r="O715" s="326"/>
      <c r="P715" s="326"/>
      <c r="Q715" s="326"/>
      <c r="R715" s="326"/>
      <c r="S715" s="326"/>
      <c r="T715" s="326"/>
      <c r="U715" s="326"/>
      <c r="V715" s="326"/>
      <c r="W715" s="326"/>
      <c r="X715" s="326"/>
    </row>
    <row r="716" spans="12:24" ht="15.75" customHeight="1">
      <c r="L716" s="326"/>
      <c r="M716" s="326"/>
      <c r="N716" s="326"/>
      <c r="O716" s="326"/>
      <c r="P716" s="326"/>
      <c r="Q716" s="326"/>
      <c r="R716" s="326"/>
      <c r="S716" s="326"/>
      <c r="T716" s="326"/>
      <c r="U716" s="326"/>
      <c r="V716" s="326"/>
      <c r="W716" s="326"/>
      <c r="X716" s="326"/>
    </row>
    <row r="717" spans="12:24" ht="15.75" customHeight="1">
      <c r="L717" s="326"/>
      <c r="M717" s="326"/>
      <c r="N717" s="326"/>
      <c r="O717" s="326"/>
      <c r="P717" s="326"/>
      <c r="Q717" s="326"/>
      <c r="R717" s="326"/>
      <c r="S717" s="326"/>
      <c r="T717" s="326"/>
      <c r="U717" s="326"/>
      <c r="V717" s="326"/>
      <c r="W717" s="326"/>
      <c r="X717" s="326"/>
    </row>
    <row r="718" spans="12:24" ht="15.75" customHeight="1">
      <c r="L718" s="326"/>
      <c r="M718" s="326"/>
      <c r="N718" s="326"/>
      <c r="O718" s="326"/>
      <c r="P718" s="326"/>
      <c r="Q718" s="326"/>
      <c r="R718" s="326"/>
      <c r="S718" s="326"/>
      <c r="T718" s="326"/>
      <c r="U718" s="326"/>
      <c r="V718" s="326"/>
      <c r="W718" s="326"/>
      <c r="X718" s="326"/>
    </row>
    <row r="719" spans="12:24" ht="15.75" customHeight="1">
      <c r="L719" s="326"/>
      <c r="M719" s="326"/>
      <c r="N719" s="326"/>
      <c r="O719" s="326"/>
      <c r="P719" s="326"/>
      <c r="Q719" s="326"/>
      <c r="R719" s="326"/>
      <c r="S719" s="326"/>
      <c r="T719" s="326"/>
      <c r="U719" s="326"/>
      <c r="V719" s="326"/>
      <c r="W719" s="326"/>
      <c r="X719" s="326"/>
    </row>
    <row r="720" spans="12:24" ht="15.75" customHeight="1">
      <c r="L720" s="326"/>
      <c r="M720" s="326"/>
      <c r="N720" s="326"/>
      <c r="O720" s="326"/>
      <c r="P720" s="326"/>
      <c r="Q720" s="326"/>
      <c r="R720" s="326"/>
      <c r="S720" s="326"/>
      <c r="T720" s="326"/>
      <c r="U720" s="326"/>
      <c r="V720" s="326"/>
      <c r="W720" s="326"/>
      <c r="X720" s="326"/>
    </row>
    <row r="721" spans="12:24" ht="15.75" customHeight="1">
      <c r="L721" s="326"/>
      <c r="M721" s="326"/>
      <c r="N721" s="326"/>
      <c r="O721" s="326"/>
      <c r="P721" s="326"/>
      <c r="Q721" s="326"/>
      <c r="R721" s="326"/>
      <c r="S721" s="326"/>
      <c r="T721" s="326"/>
      <c r="U721" s="326"/>
      <c r="V721" s="326"/>
      <c r="W721" s="326"/>
      <c r="X721" s="326"/>
    </row>
    <row r="722" spans="12:24" ht="15.75" customHeight="1">
      <c r="L722" s="326"/>
      <c r="M722" s="326"/>
      <c r="N722" s="326"/>
      <c r="O722" s="326"/>
      <c r="P722" s="326"/>
      <c r="Q722" s="326"/>
      <c r="R722" s="326"/>
      <c r="S722" s="326"/>
      <c r="T722" s="326"/>
      <c r="U722" s="326"/>
      <c r="V722" s="326"/>
      <c r="W722" s="326"/>
      <c r="X722" s="326"/>
    </row>
    <row r="723" spans="12:24" ht="15.75" customHeight="1">
      <c r="L723" s="326"/>
      <c r="M723" s="326"/>
      <c r="N723" s="326"/>
      <c r="O723" s="326"/>
      <c r="P723" s="326"/>
      <c r="Q723" s="326"/>
      <c r="R723" s="326"/>
      <c r="S723" s="326"/>
      <c r="T723" s="326"/>
      <c r="U723" s="326"/>
      <c r="V723" s="326"/>
      <c r="W723" s="326"/>
      <c r="X723" s="326"/>
    </row>
    <row r="724" spans="12:24" ht="15.75" customHeight="1">
      <c r="L724" s="326"/>
      <c r="M724" s="326"/>
      <c r="N724" s="326"/>
      <c r="O724" s="326"/>
      <c r="P724" s="326"/>
      <c r="Q724" s="326"/>
      <c r="R724" s="326"/>
      <c r="S724" s="326"/>
      <c r="T724" s="326"/>
      <c r="U724" s="326"/>
      <c r="V724" s="326"/>
      <c r="W724" s="326"/>
      <c r="X724" s="326"/>
    </row>
    <row r="725" spans="12:24" ht="15.75" customHeight="1">
      <c r="L725" s="326"/>
      <c r="M725" s="326"/>
      <c r="N725" s="326"/>
      <c r="O725" s="326"/>
      <c r="P725" s="326"/>
      <c r="Q725" s="326"/>
      <c r="R725" s="326"/>
      <c r="S725" s="326"/>
      <c r="T725" s="326"/>
      <c r="U725" s="326"/>
      <c r="V725" s="326"/>
      <c r="W725" s="326"/>
      <c r="X725" s="326"/>
    </row>
    <row r="726" spans="12:24" ht="15.75" customHeight="1">
      <c r="L726" s="326"/>
      <c r="M726" s="326"/>
      <c r="N726" s="326"/>
      <c r="O726" s="326"/>
      <c r="P726" s="326"/>
      <c r="Q726" s="326"/>
      <c r="R726" s="326"/>
      <c r="S726" s="326"/>
      <c r="T726" s="326"/>
      <c r="U726" s="326"/>
      <c r="V726" s="326"/>
      <c r="W726" s="326"/>
      <c r="X726" s="326"/>
    </row>
    <row r="727" spans="12:24" ht="15.75" customHeight="1">
      <c r="L727" s="326"/>
      <c r="M727" s="326"/>
      <c r="N727" s="326"/>
      <c r="O727" s="326"/>
      <c r="P727" s="326"/>
      <c r="Q727" s="326"/>
      <c r="R727" s="326"/>
      <c r="S727" s="326"/>
      <c r="T727" s="326"/>
      <c r="U727" s="326"/>
      <c r="V727" s="326"/>
      <c r="W727" s="326"/>
      <c r="X727" s="326"/>
    </row>
    <row r="728" spans="12:24" ht="15.75" customHeight="1">
      <c r="L728" s="326"/>
      <c r="M728" s="326"/>
      <c r="N728" s="326"/>
      <c r="O728" s="326"/>
      <c r="P728" s="326"/>
      <c r="Q728" s="326"/>
      <c r="R728" s="326"/>
      <c r="S728" s="326"/>
      <c r="T728" s="326"/>
      <c r="U728" s="326"/>
      <c r="V728" s="326"/>
      <c r="W728" s="326"/>
      <c r="X728" s="326"/>
    </row>
    <row r="729" spans="12:24" ht="15.75" customHeight="1">
      <c r="L729" s="326"/>
      <c r="M729" s="326"/>
      <c r="N729" s="326"/>
      <c r="O729" s="326"/>
      <c r="P729" s="326"/>
      <c r="Q729" s="326"/>
      <c r="R729" s="326"/>
      <c r="S729" s="326"/>
      <c r="T729" s="326"/>
      <c r="U729" s="326"/>
      <c r="V729" s="326"/>
      <c r="W729" s="326"/>
      <c r="X729" s="326"/>
    </row>
    <row r="730" spans="12:24" ht="15.75" customHeight="1">
      <c r="L730" s="326"/>
      <c r="M730" s="326"/>
      <c r="N730" s="326"/>
      <c r="O730" s="326"/>
      <c r="P730" s="326"/>
      <c r="Q730" s="326"/>
      <c r="R730" s="326"/>
      <c r="S730" s="326"/>
      <c r="T730" s="326"/>
      <c r="U730" s="326"/>
      <c r="V730" s="326"/>
      <c r="W730" s="326"/>
      <c r="X730" s="326"/>
    </row>
    <row r="731" spans="12:24" ht="15.75" customHeight="1">
      <c r="L731" s="326"/>
      <c r="M731" s="326"/>
      <c r="N731" s="326"/>
      <c r="O731" s="326"/>
      <c r="P731" s="326"/>
      <c r="Q731" s="326"/>
      <c r="R731" s="326"/>
      <c r="S731" s="326"/>
      <c r="T731" s="326"/>
      <c r="U731" s="326"/>
      <c r="V731" s="326"/>
      <c r="W731" s="326"/>
      <c r="X731" s="326"/>
    </row>
    <row r="732" spans="12:24" ht="15.75" customHeight="1">
      <c r="L732" s="326"/>
      <c r="M732" s="326"/>
      <c r="N732" s="326"/>
      <c r="O732" s="326"/>
      <c r="P732" s="326"/>
      <c r="Q732" s="326"/>
      <c r="R732" s="326"/>
      <c r="S732" s="326"/>
      <c r="T732" s="326"/>
      <c r="U732" s="326"/>
      <c r="V732" s="326"/>
      <c r="W732" s="326"/>
      <c r="X732" s="326"/>
    </row>
    <row r="733" spans="12:24" ht="15.75" customHeight="1">
      <c r="L733" s="326"/>
      <c r="M733" s="326"/>
      <c r="N733" s="326"/>
      <c r="O733" s="326"/>
      <c r="P733" s="326"/>
      <c r="Q733" s="326"/>
      <c r="R733" s="326"/>
      <c r="S733" s="326"/>
      <c r="T733" s="326"/>
      <c r="U733" s="326"/>
      <c r="V733" s="326"/>
      <c r="W733" s="326"/>
      <c r="X733" s="326"/>
    </row>
    <row r="734" spans="12:24" ht="15.75" customHeight="1">
      <c r="L734" s="326"/>
      <c r="M734" s="326"/>
      <c r="N734" s="326"/>
      <c r="O734" s="326"/>
      <c r="P734" s="326"/>
      <c r="Q734" s="326"/>
      <c r="R734" s="326"/>
      <c r="S734" s="326"/>
      <c r="T734" s="326"/>
      <c r="U734" s="326"/>
      <c r="V734" s="326"/>
      <c r="W734" s="326"/>
      <c r="X734" s="326"/>
    </row>
    <row r="735" spans="12:24" ht="15.75" customHeight="1">
      <c r="L735" s="326"/>
      <c r="M735" s="326"/>
      <c r="N735" s="326"/>
      <c r="O735" s="326"/>
      <c r="P735" s="326"/>
      <c r="Q735" s="326"/>
      <c r="R735" s="326"/>
      <c r="S735" s="326"/>
      <c r="T735" s="326"/>
      <c r="U735" s="326"/>
      <c r="V735" s="326"/>
      <c r="W735" s="326"/>
      <c r="X735" s="326"/>
    </row>
    <row r="736" spans="12:24" ht="15.75" customHeight="1">
      <c r="L736" s="326"/>
      <c r="M736" s="326"/>
      <c r="N736" s="326"/>
      <c r="O736" s="326"/>
      <c r="P736" s="326"/>
      <c r="Q736" s="326"/>
      <c r="R736" s="326"/>
      <c r="S736" s="326"/>
      <c r="T736" s="326"/>
      <c r="U736" s="326"/>
      <c r="V736" s="326"/>
      <c r="W736" s="326"/>
      <c r="X736" s="326"/>
    </row>
    <row r="737" spans="12:24" ht="15.75" customHeight="1">
      <c r="L737" s="326"/>
      <c r="M737" s="326"/>
      <c r="N737" s="326"/>
      <c r="O737" s="326"/>
      <c r="P737" s="326"/>
      <c r="Q737" s="326"/>
      <c r="R737" s="326"/>
      <c r="S737" s="326"/>
      <c r="T737" s="326"/>
      <c r="U737" s="326"/>
      <c r="V737" s="326"/>
      <c r="W737" s="326"/>
      <c r="X737" s="326"/>
    </row>
    <row r="738" spans="12:24" ht="15.75" customHeight="1">
      <c r="L738" s="326"/>
      <c r="M738" s="326"/>
      <c r="N738" s="326"/>
      <c r="O738" s="326"/>
      <c r="P738" s="326"/>
      <c r="Q738" s="326"/>
      <c r="R738" s="326"/>
      <c r="S738" s="326"/>
      <c r="T738" s="326"/>
      <c r="U738" s="326"/>
      <c r="V738" s="326"/>
      <c r="W738" s="326"/>
      <c r="X738" s="326"/>
    </row>
    <row r="739" spans="12:24" ht="15.75" customHeight="1">
      <c r="L739" s="326"/>
      <c r="M739" s="326"/>
      <c r="N739" s="326"/>
      <c r="O739" s="326"/>
      <c r="P739" s="326"/>
      <c r="Q739" s="326"/>
      <c r="R739" s="326"/>
      <c r="S739" s="326"/>
      <c r="T739" s="326"/>
      <c r="U739" s="326"/>
      <c r="V739" s="326"/>
      <c r="W739" s="326"/>
      <c r="X739" s="326"/>
    </row>
    <row r="740" spans="12:24" ht="15.75" customHeight="1">
      <c r="L740" s="326"/>
      <c r="M740" s="326"/>
      <c r="N740" s="326"/>
      <c r="O740" s="326"/>
      <c r="P740" s="326"/>
      <c r="Q740" s="326"/>
      <c r="R740" s="326"/>
      <c r="S740" s="326"/>
      <c r="T740" s="326"/>
      <c r="U740" s="326"/>
      <c r="V740" s="326"/>
      <c r="W740" s="326"/>
      <c r="X740" s="326"/>
    </row>
    <row r="741" spans="12:24" ht="15.75" customHeight="1">
      <c r="L741" s="326"/>
      <c r="M741" s="326"/>
      <c r="N741" s="326"/>
      <c r="O741" s="326"/>
      <c r="P741" s="326"/>
      <c r="Q741" s="326"/>
      <c r="R741" s="326"/>
      <c r="S741" s="326"/>
      <c r="T741" s="326"/>
      <c r="U741" s="326"/>
      <c r="V741" s="326"/>
      <c r="W741" s="326"/>
      <c r="X741" s="326"/>
    </row>
    <row r="742" spans="12:24" ht="15.75" customHeight="1">
      <c r="L742" s="326"/>
      <c r="M742" s="326"/>
      <c r="N742" s="326"/>
      <c r="O742" s="326"/>
      <c r="P742" s="326"/>
      <c r="Q742" s="326"/>
      <c r="R742" s="326"/>
      <c r="S742" s="326"/>
      <c r="T742" s="326"/>
      <c r="U742" s="326"/>
      <c r="V742" s="326"/>
      <c r="W742" s="326"/>
      <c r="X742" s="326"/>
    </row>
    <row r="743" spans="12:24" ht="15.75" customHeight="1">
      <c r="L743" s="326"/>
      <c r="M743" s="326"/>
      <c r="N743" s="326"/>
      <c r="O743" s="326"/>
      <c r="P743" s="326"/>
      <c r="Q743" s="326"/>
      <c r="R743" s="326"/>
      <c r="S743" s="326"/>
      <c r="T743" s="326"/>
      <c r="U743" s="326"/>
      <c r="V743" s="326"/>
      <c r="W743" s="326"/>
      <c r="X743" s="326"/>
    </row>
    <row r="744" spans="12:24" ht="15.75" customHeight="1">
      <c r="L744" s="326"/>
      <c r="M744" s="326"/>
      <c r="N744" s="326"/>
      <c r="O744" s="326"/>
      <c r="P744" s="326"/>
      <c r="Q744" s="326"/>
      <c r="R744" s="326"/>
      <c r="S744" s="326"/>
      <c r="T744" s="326"/>
      <c r="U744" s="326"/>
      <c r="V744" s="326"/>
      <c r="W744" s="326"/>
      <c r="X744" s="326"/>
    </row>
    <row r="745" spans="12:24" ht="15.75" customHeight="1">
      <c r="L745" s="326"/>
      <c r="M745" s="326"/>
      <c r="N745" s="326"/>
      <c r="O745" s="326"/>
      <c r="P745" s="326"/>
      <c r="Q745" s="326"/>
      <c r="R745" s="326"/>
      <c r="S745" s="326"/>
      <c r="T745" s="326"/>
      <c r="U745" s="326"/>
      <c r="V745" s="326"/>
      <c r="W745" s="326"/>
      <c r="X745" s="326"/>
    </row>
    <row r="746" spans="12:24" ht="15.75" customHeight="1">
      <c r="L746" s="326"/>
      <c r="M746" s="326"/>
      <c r="N746" s="326"/>
      <c r="O746" s="326"/>
      <c r="P746" s="326"/>
      <c r="Q746" s="326"/>
      <c r="R746" s="326"/>
      <c r="S746" s="326"/>
      <c r="T746" s="326"/>
      <c r="U746" s="326"/>
      <c r="V746" s="326"/>
      <c r="W746" s="326"/>
      <c r="X746" s="326"/>
    </row>
    <row r="747" spans="12:24" ht="15.75" customHeight="1">
      <c r="L747" s="326"/>
      <c r="M747" s="326"/>
      <c r="N747" s="326"/>
      <c r="O747" s="326"/>
      <c r="P747" s="326"/>
      <c r="Q747" s="326"/>
      <c r="R747" s="326"/>
      <c r="S747" s="326"/>
      <c r="T747" s="326"/>
      <c r="U747" s="326"/>
      <c r="V747" s="326"/>
      <c r="W747" s="326"/>
      <c r="X747" s="326"/>
    </row>
    <row r="748" spans="12:24" ht="15.75" customHeight="1">
      <c r="L748" s="326"/>
      <c r="M748" s="326"/>
      <c r="N748" s="326"/>
      <c r="O748" s="326"/>
      <c r="P748" s="326"/>
      <c r="Q748" s="326"/>
      <c r="R748" s="326"/>
      <c r="S748" s="326"/>
      <c r="T748" s="326"/>
      <c r="U748" s="326"/>
      <c r="V748" s="326"/>
      <c r="W748" s="326"/>
      <c r="X748" s="326"/>
    </row>
    <row r="749" spans="12:24" ht="15.75" customHeight="1">
      <c r="L749" s="326"/>
      <c r="M749" s="326"/>
      <c r="N749" s="326"/>
      <c r="O749" s="326"/>
      <c r="P749" s="326"/>
      <c r="Q749" s="326"/>
      <c r="R749" s="326"/>
      <c r="S749" s="326"/>
      <c r="T749" s="326"/>
      <c r="U749" s="326"/>
      <c r="V749" s="326"/>
      <c r="W749" s="326"/>
      <c r="X749" s="326"/>
    </row>
    <row r="750" spans="12:24" ht="15.75" customHeight="1">
      <c r="L750" s="326"/>
      <c r="M750" s="326"/>
      <c r="N750" s="326"/>
      <c r="O750" s="326"/>
      <c r="P750" s="326"/>
      <c r="Q750" s="326"/>
      <c r="R750" s="326"/>
      <c r="S750" s="326"/>
      <c r="T750" s="326"/>
      <c r="U750" s="326"/>
      <c r="V750" s="326"/>
      <c r="W750" s="326"/>
      <c r="X750" s="326"/>
    </row>
    <row r="751" spans="12:24" ht="15.75" customHeight="1">
      <c r="L751" s="326"/>
      <c r="M751" s="326"/>
      <c r="N751" s="326"/>
      <c r="O751" s="326"/>
      <c r="P751" s="326"/>
      <c r="Q751" s="326"/>
      <c r="R751" s="326"/>
      <c r="S751" s="326"/>
      <c r="T751" s="326"/>
      <c r="U751" s="326"/>
      <c r="V751" s="326"/>
      <c r="W751" s="326"/>
      <c r="X751" s="326"/>
    </row>
    <row r="752" spans="12:24" ht="15.75" customHeight="1">
      <c r="L752" s="326"/>
      <c r="M752" s="326"/>
      <c r="N752" s="326"/>
      <c r="O752" s="326"/>
      <c r="P752" s="326"/>
      <c r="Q752" s="326"/>
      <c r="R752" s="326"/>
      <c r="S752" s="326"/>
      <c r="T752" s="326"/>
      <c r="U752" s="326"/>
      <c r="V752" s="326"/>
      <c r="W752" s="326"/>
      <c r="X752" s="326"/>
    </row>
    <row r="753" spans="12:24" ht="15.75" customHeight="1">
      <c r="L753" s="326"/>
      <c r="M753" s="326"/>
      <c r="N753" s="326"/>
      <c r="O753" s="326"/>
      <c r="P753" s="326"/>
      <c r="Q753" s="326"/>
      <c r="R753" s="326"/>
      <c r="S753" s="326"/>
      <c r="T753" s="326"/>
      <c r="U753" s="326"/>
      <c r="V753" s="326"/>
      <c r="W753" s="326"/>
      <c r="X753" s="326"/>
    </row>
    <row r="754" spans="12:24" ht="15.75" customHeight="1">
      <c r="L754" s="326"/>
      <c r="M754" s="326"/>
      <c r="N754" s="326"/>
      <c r="O754" s="326"/>
      <c r="P754" s="326"/>
      <c r="Q754" s="326"/>
      <c r="R754" s="326"/>
      <c r="S754" s="326"/>
      <c r="T754" s="326"/>
      <c r="U754" s="326"/>
      <c r="V754" s="326"/>
      <c r="W754" s="326"/>
      <c r="X754" s="326"/>
    </row>
    <row r="755" spans="12:24" ht="15.75" customHeight="1">
      <c r="L755" s="326"/>
      <c r="M755" s="326"/>
      <c r="N755" s="326"/>
      <c r="O755" s="326"/>
      <c r="P755" s="326"/>
      <c r="Q755" s="326"/>
      <c r="R755" s="326"/>
      <c r="S755" s="326"/>
      <c r="T755" s="326"/>
      <c r="U755" s="326"/>
      <c r="V755" s="326"/>
      <c r="W755" s="326"/>
      <c r="X755" s="326"/>
    </row>
    <row r="756" spans="12:24" ht="15.75" customHeight="1">
      <c r="L756" s="326"/>
      <c r="M756" s="326"/>
      <c r="N756" s="326"/>
      <c r="O756" s="326"/>
      <c r="P756" s="326"/>
      <c r="Q756" s="326"/>
      <c r="R756" s="326"/>
      <c r="S756" s="326"/>
      <c r="T756" s="326"/>
      <c r="U756" s="326"/>
      <c r="V756" s="326"/>
      <c r="W756" s="326"/>
      <c r="X756" s="326"/>
    </row>
    <row r="757" spans="12:24" ht="15.75" customHeight="1">
      <c r="L757" s="326"/>
      <c r="M757" s="326"/>
      <c r="N757" s="326"/>
      <c r="O757" s="326"/>
      <c r="P757" s="326"/>
      <c r="Q757" s="326"/>
      <c r="R757" s="326"/>
      <c r="S757" s="326"/>
      <c r="T757" s="326"/>
      <c r="U757" s="326"/>
      <c r="V757" s="326"/>
      <c r="W757" s="326"/>
      <c r="X757" s="326"/>
    </row>
    <row r="758" spans="12:24" ht="15.75" customHeight="1">
      <c r="L758" s="326"/>
      <c r="M758" s="326"/>
      <c r="N758" s="326"/>
      <c r="O758" s="326"/>
      <c r="P758" s="326"/>
      <c r="Q758" s="326"/>
      <c r="R758" s="326"/>
      <c r="S758" s="326"/>
      <c r="T758" s="326"/>
      <c r="U758" s="326"/>
      <c r="V758" s="326"/>
      <c r="W758" s="326"/>
      <c r="X758" s="326"/>
    </row>
    <row r="759" spans="12:24" ht="15.75" customHeight="1">
      <c r="L759" s="326"/>
      <c r="M759" s="326"/>
      <c r="N759" s="326"/>
      <c r="O759" s="326"/>
      <c r="P759" s="326"/>
      <c r="Q759" s="326"/>
      <c r="R759" s="326"/>
      <c r="S759" s="326"/>
      <c r="T759" s="326"/>
      <c r="U759" s="326"/>
      <c r="V759" s="326"/>
      <c r="W759" s="326"/>
      <c r="X759" s="326"/>
    </row>
    <row r="760" spans="12:24" ht="15.75" customHeight="1">
      <c r="L760" s="326"/>
      <c r="M760" s="326"/>
      <c r="N760" s="326"/>
      <c r="O760" s="326"/>
      <c r="P760" s="326"/>
      <c r="Q760" s="326"/>
      <c r="R760" s="326"/>
      <c r="S760" s="326"/>
      <c r="T760" s="326"/>
      <c r="U760" s="326"/>
      <c r="V760" s="326"/>
      <c r="W760" s="326"/>
      <c r="X760" s="326"/>
    </row>
    <row r="761" spans="12:24" ht="15.75" customHeight="1">
      <c r="L761" s="326"/>
      <c r="M761" s="326"/>
      <c r="N761" s="326"/>
      <c r="O761" s="326"/>
      <c r="P761" s="326"/>
      <c r="Q761" s="326"/>
      <c r="R761" s="326"/>
      <c r="S761" s="326"/>
      <c r="T761" s="326"/>
      <c r="U761" s="326"/>
      <c r="V761" s="326"/>
      <c r="W761" s="326"/>
      <c r="X761" s="326"/>
    </row>
    <row r="762" spans="12:24" ht="15.75" customHeight="1">
      <c r="L762" s="326"/>
      <c r="M762" s="326"/>
      <c r="N762" s="326"/>
      <c r="O762" s="326"/>
      <c r="P762" s="326"/>
      <c r="Q762" s="326"/>
      <c r="R762" s="326"/>
      <c r="S762" s="326"/>
      <c r="T762" s="326"/>
      <c r="U762" s="326"/>
      <c r="V762" s="326"/>
      <c r="W762" s="326"/>
      <c r="X762" s="326"/>
    </row>
    <row r="763" spans="12:24" ht="15.75" customHeight="1">
      <c r="L763" s="326"/>
      <c r="M763" s="326"/>
      <c r="N763" s="326"/>
      <c r="O763" s="326"/>
      <c r="P763" s="326"/>
      <c r="Q763" s="326"/>
      <c r="R763" s="326"/>
      <c r="S763" s="326"/>
      <c r="T763" s="326"/>
      <c r="U763" s="326"/>
      <c r="V763" s="326"/>
      <c r="W763" s="326"/>
      <c r="X763" s="326"/>
    </row>
    <row r="764" spans="12:24" ht="15.75" customHeight="1">
      <c r="L764" s="326"/>
      <c r="M764" s="326"/>
      <c r="N764" s="326"/>
      <c r="O764" s="326"/>
      <c r="P764" s="326"/>
      <c r="Q764" s="326"/>
      <c r="R764" s="326"/>
      <c r="S764" s="326"/>
      <c r="T764" s="326"/>
      <c r="U764" s="326"/>
      <c r="V764" s="326"/>
      <c r="W764" s="326"/>
      <c r="X764" s="326"/>
    </row>
    <row r="765" spans="12:24" ht="15.75" customHeight="1">
      <c r="L765" s="326"/>
      <c r="M765" s="326"/>
      <c r="N765" s="326"/>
      <c r="O765" s="326"/>
      <c r="P765" s="326"/>
      <c r="Q765" s="326"/>
      <c r="R765" s="326"/>
      <c r="S765" s="326"/>
      <c r="T765" s="326"/>
      <c r="U765" s="326"/>
      <c r="V765" s="326"/>
      <c r="W765" s="326"/>
      <c r="X765" s="326"/>
    </row>
    <row r="766" spans="12:24" ht="15.75" customHeight="1">
      <c r="L766" s="326"/>
      <c r="M766" s="326"/>
      <c r="N766" s="326"/>
      <c r="O766" s="326"/>
      <c r="P766" s="326"/>
      <c r="Q766" s="326"/>
      <c r="R766" s="326"/>
      <c r="S766" s="326"/>
      <c r="T766" s="326"/>
      <c r="U766" s="326"/>
      <c r="V766" s="326"/>
      <c r="W766" s="326"/>
      <c r="X766" s="326"/>
    </row>
    <row r="767" spans="12:24" ht="15.75" customHeight="1">
      <c r="L767" s="326"/>
      <c r="M767" s="326"/>
      <c r="N767" s="326"/>
      <c r="O767" s="326"/>
      <c r="P767" s="326"/>
      <c r="Q767" s="326"/>
      <c r="R767" s="326"/>
      <c r="S767" s="326"/>
      <c r="T767" s="326"/>
      <c r="U767" s="326"/>
      <c r="V767" s="326"/>
      <c r="W767" s="326"/>
      <c r="X767" s="326"/>
    </row>
    <row r="768" spans="12:24" ht="15.75" customHeight="1">
      <c r="L768" s="326"/>
      <c r="M768" s="326"/>
      <c r="N768" s="326"/>
      <c r="O768" s="326"/>
      <c r="P768" s="326"/>
      <c r="Q768" s="326"/>
      <c r="R768" s="326"/>
      <c r="S768" s="326"/>
      <c r="T768" s="326"/>
      <c r="U768" s="326"/>
      <c r="V768" s="326"/>
      <c r="W768" s="326"/>
      <c r="X768" s="326"/>
    </row>
    <row r="769" spans="12:24" ht="15.75" customHeight="1">
      <c r="L769" s="326"/>
      <c r="M769" s="326"/>
      <c r="N769" s="326"/>
      <c r="O769" s="326"/>
      <c r="P769" s="326"/>
      <c r="Q769" s="326"/>
      <c r="R769" s="326"/>
      <c r="S769" s="326"/>
      <c r="T769" s="326"/>
      <c r="U769" s="326"/>
      <c r="V769" s="326"/>
      <c r="W769" s="326"/>
      <c r="X769" s="326"/>
    </row>
    <row r="770" spans="12:24" ht="15.75" customHeight="1">
      <c r="L770" s="326"/>
      <c r="M770" s="326"/>
      <c r="N770" s="326"/>
      <c r="O770" s="326"/>
      <c r="P770" s="326"/>
      <c r="Q770" s="326"/>
      <c r="R770" s="326"/>
      <c r="S770" s="326"/>
      <c r="T770" s="326"/>
      <c r="U770" s="326"/>
      <c r="V770" s="326"/>
      <c r="W770" s="326"/>
      <c r="X770" s="326"/>
    </row>
    <row r="771" spans="12:24" ht="15.75" customHeight="1">
      <c r="L771" s="326"/>
      <c r="M771" s="326"/>
      <c r="N771" s="326"/>
      <c r="O771" s="326"/>
      <c r="P771" s="326"/>
      <c r="Q771" s="326"/>
      <c r="R771" s="326"/>
      <c r="S771" s="326"/>
      <c r="T771" s="326"/>
      <c r="U771" s="326"/>
      <c r="V771" s="326"/>
      <c r="W771" s="326"/>
      <c r="X771" s="326"/>
    </row>
    <row r="772" spans="12:24" ht="15.75" customHeight="1">
      <c r="L772" s="326"/>
      <c r="M772" s="326"/>
      <c r="N772" s="326"/>
      <c r="O772" s="326"/>
      <c r="P772" s="326"/>
      <c r="Q772" s="326"/>
      <c r="R772" s="326"/>
      <c r="S772" s="326"/>
      <c r="T772" s="326"/>
      <c r="U772" s="326"/>
      <c r="V772" s="326"/>
      <c r="W772" s="326"/>
      <c r="X772" s="326"/>
    </row>
    <row r="773" spans="12:24" ht="15.75" customHeight="1">
      <c r="L773" s="326"/>
      <c r="M773" s="326"/>
      <c r="N773" s="326"/>
      <c r="O773" s="326"/>
      <c r="P773" s="326"/>
      <c r="Q773" s="326"/>
      <c r="R773" s="326"/>
      <c r="S773" s="326"/>
      <c r="T773" s="326"/>
      <c r="U773" s="326"/>
      <c r="V773" s="326"/>
      <c r="W773" s="326"/>
      <c r="X773" s="326"/>
    </row>
    <row r="774" spans="12:24" ht="15.75" customHeight="1">
      <c r="L774" s="326"/>
      <c r="M774" s="326"/>
      <c r="N774" s="326"/>
      <c r="O774" s="326"/>
      <c r="P774" s="326"/>
      <c r="Q774" s="326"/>
      <c r="R774" s="326"/>
      <c r="S774" s="326"/>
      <c r="T774" s="326"/>
      <c r="U774" s="326"/>
      <c r="V774" s="326"/>
      <c r="W774" s="326"/>
      <c r="X774" s="326"/>
    </row>
    <row r="775" spans="12:24" ht="15.75" customHeight="1">
      <c r="L775" s="326"/>
      <c r="M775" s="326"/>
      <c r="N775" s="326"/>
      <c r="O775" s="326"/>
      <c r="P775" s="326"/>
      <c r="Q775" s="326"/>
      <c r="R775" s="326"/>
      <c r="S775" s="326"/>
      <c r="T775" s="326"/>
      <c r="U775" s="326"/>
      <c r="V775" s="326"/>
      <c r="W775" s="326"/>
      <c r="X775" s="326"/>
    </row>
    <row r="776" spans="12:24" ht="15.75" customHeight="1">
      <c r="L776" s="326"/>
      <c r="M776" s="326"/>
      <c r="N776" s="326"/>
      <c r="O776" s="326"/>
      <c r="P776" s="326"/>
      <c r="Q776" s="326"/>
      <c r="R776" s="326"/>
      <c r="S776" s="326"/>
      <c r="T776" s="326"/>
      <c r="U776" s="326"/>
      <c r="V776" s="326"/>
      <c r="W776" s="326"/>
      <c r="X776" s="326"/>
    </row>
    <row r="777" spans="12:24" ht="15.75" customHeight="1">
      <c r="L777" s="326"/>
      <c r="M777" s="326"/>
      <c r="N777" s="326"/>
      <c r="O777" s="326"/>
      <c r="P777" s="326"/>
      <c r="Q777" s="326"/>
      <c r="R777" s="326"/>
      <c r="S777" s="326"/>
      <c r="T777" s="326"/>
      <c r="U777" s="326"/>
      <c r="V777" s="326"/>
      <c r="W777" s="326"/>
      <c r="X777" s="326"/>
    </row>
    <row r="778" spans="12:24" ht="15.75" customHeight="1">
      <c r="L778" s="326"/>
      <c r="M778" s="326"/>
      <c r="N778" s="326"/>
      <c r="O778" s="326"/>
      <c r="P778" s="326"/>
      <c r="Q778" s="326"/>
      <c r="R778" s="326"/>
      <c r="S778" s="326"/>
      <c r="T778" s="326"/>
      <c r="U778" s="326"/>
      <c r="V778" s="326"/>
      <c r="W778" s="326"/>
      <c r="X778" s="326"/>
    </row>
    <row r="779" spans="12:24" ht="15.75" customHeight="1">
      <c r="L779" s="326"/>
      <c r="M779" s="326"/>
      <c r="N779" s="326"/>
      <c r="O779" s="326"/>
      <c r="P779" s="326"/>
      <c r="Q779" s="326"/>
      <c r="R779" s="326"/>
      <c r="S779" s="326"/>
      <c r="T779" s="326"/>
      <c r="U779" s="326"/>
      <c r="V779" s="326"/>
      <c r="W779" s="326"/>
      <c r="X779" s="326"/>
    </row>
    <row r="780" spans="12:24" ht="15.75" customHeight="1">
      <c r="L780" s="326"/>
      <c r="M780" s="326"/>
      <c r="N780" s="326"/>
      <c r="O780" s="326"/>
      <c r="P780" s="326"/>
      <c r="Q780" s="326"/>
      <c r="R780" s="326"/>
      <c r="S780" s="326"/>
      <c r="T780" s="326"/>
      <c r="U780" s="326"/>
      <c r="V780" s="326"/>
      <c r="W780" s="326"/>
      <c r="X780" s="326"/>
    </row>
    <row r="781" spans="12:24" ht="15.75" customHeight="1">
      <c r="L781" s="326"/>
      <c r="M781" s="326"/>
      <c r="N781" s="326"/>
      <c r="O781" s="326"/>
      <c r="P781" s="326"/>
      <c r="Q781" s="326"/>
      <c r="R781" s="326"/>
      <c r="S781" s="326"/>
      <c r="T781" s="326"/>
      <c r="U781" s="326"/>
      <c r="V781" s="326"/>
      <c r="W781" s="326"/>
      <c r="X781" s="326"/>
    </row>
    <row r="782" spans="12:24" ht="15.75" customHeight="1">
      <c r="L782" s="326"/>
      <c r="M782" s="326"/>
      <c r="N782" s="326"/>
      <c r="O782" s="326"/>
      <c r="P782" s="326"/>
      <c r="Q782" s="326"/>
      <c r="R782" s="326"/>
      <c r="S782" s="326"/>
      <c r="T782" s="326"/>
      <c r="U782" s="326"/>
      <c r="V782" s="326"/>
      <c r="W782" s="326"/>
      <c r="X782" s="326"/>
    </row>
    <row r="783" spans="12:24" ht="15.75" customHeight="1">
      <c r="L783" s="326"/>
      <c r="M783" s="326"/>
      <c r="N783" s="326"/>
      <c r="O783" s="326"/>
      <c r="P783" s="326"/>
      <c r="Q783" s="326"/>
      <c r="R783" s="326"/>
      <c r="S783" s="326"/>
      <c r="T783" s="326"/>
      <c r="U783" s="326"/>
      <c r="V783" s="326"/>
      <c r="W783" s="326"/>
      <c r="X783" s="326"/>
    </row>
    <row r="784" spans="12:24" ht="15.75" customHeight="1">
      <c r="L784" s="326"/>
      <c r="M784" s="326"/>
      <c r="N784" s="326"/>
      <c r="O784" s="326"/>
      <c r="P784" s="326"/>
      <c r="Q784" s="326"/>
      <c r="R784" s="326"/>
      <c r="S784" s="326"/>
      <c r="T784" s="326"/>
      <c r="U784" s="326"/>
      <c r="V784" s="326"/>
      <c r="W784" s="326"/>
      <c r="X784" s="326"/>
    </row>
    <row r="785" spans="12:24" ht="15.75" customHeight="1">
      <c r="L785" s="326"/>
      <c r="M785" s="326"/>
      <c r="N785" s="326"/>
      <c r="O785" s="326"/>
      <c r="P785" s="326"/>
      <c r="Q785" s="326"/>
      <c r="R785" s="326"/>
      <c r="S785" s="326"/>
      <c r="T785" s="326"/>
      <c r="U785" s="326"/>
      <c r="V785" s="326"/>
      <c r="W785" s="326"/>
      <c r="X785" s="326"/>
    </row>
    <row r="786" spans="12:24" ht="15.75" customHeight="1">
      <c r="L786" s="326"/>
      <c r="M786" s="326"/>
      <c r="N786" s="326"/>
      <c r="O786" s="326"/>
      <c r="P786" s="326"/>
      <c r="Q786" s="326"/>
      <c r="R786" s="326"/>
      <c r="S786" s="326"/>
      <c r="T786" s="326"/>
      <c r="U786" s="326"/>
      <c r="V786" s="326"/>
      <c r="W786" s="326"/>
      <c r="X786" s="326"/>
    </row>
    <row r="787" spans="12:24" ht="15.75" customHeight="1">
      <c r="L787" s="326"/>
      <c r="M787" s="326"/>
      <c r="N787" s="326"/>
      <c r="O787" s="326"/>
      <c r="P787" s="326"/>
      <c r="Q787" s="326"/>
      <c r="R787" s="326"/>
      <c r="S787" s="326"/>
      <c r="T787" s="326"/>
      <c r="U787" s="326"/>
      <c r="V787" s="326"/>
      <c r="W787" s="326"/>
      <c r="X787" s="326"/>
    </row>
    <row r="788" spans="12:24" ht="15.75" customHeight="1">
      <c r="L788" s="326"/>
      <c r="M788" s="326"/>
      <c r="N788" s="326"/>
      <c r="O788" s="326"/>
      <c r="P788" s="326"/>
      <c r="Q788" s="326"/>
      <c r="R788" s="326"/>
      <c r="S788" s="326"/>
      <c r="T788" s="326"/>
      <c r="U788" s="326"/>
      <c r="V788" s="326"/>
      <c r="W788" s="326"/>
      <c r="X788" s="326"/>
    </row>
    <row r="789" spans="12:24" ht="15.75" customHeight="1">
      <c r="L789" s="326"/>
      <c r="M789" s="326"/>
      <c r="N789" s="326"/>
      <c r="O789" s="326"/>
      <c r="P789" s="326"/>
      <c r="Q789" s="326"/>
      <c r="R789" s="326"/>
      <c r="S789" s="326"/>
      <c r="T789" s="326"/>
      <c r="U789" s="326"/>
      <c r="V789" s="326"/>
      <c r="W789" s="326"/>
      <c r="X789" s="326"/>
    </row>
    <row r="790" spans="12:24" ht="15.75" customHeight="1">
      <c r="L790" s="326"/>
      <c r="M790" s="326"/>
      <c r="N790" s="326"/>
      <c r="O790" s="326"/>
      <c r="P790" s="326"/>
      <c r="Q790" s="326"/>
      <c r="R790" s="326"/>
      <c r="S790" s="326"/>
      <c r="T790" s="326"/>
      <c r="U790" s="326"/>
      <c r="V790" s="326"/>
      <c r="W790" s="326"/>
      <c r="X790" s="326"/>
    </row>
    <row r="791" spans="12:24" ht="15.75" customHeight="1">
      <c r="L791" s="326"/>
      <c r="M791" s="326"/>
      <c r="N791" s="326"/>
      <c r="O791" s="326"/>
      <c r="P791" s="326"/>
      <c r="Q791" s="326"/>
      <c r="R791" s="326"/>
      <c r="S791" s="326"/>
      <c r="T791" s="326"/>
      <c r="U791" s="326"/>
      <c r="V791" s="326"/>
      <c r="W791" s="326"/>
      <c r="X791" s="326"/>
    </row>
    <row r="792" spans="12:24" ht="15.75" customHeight="1">
      <c r="L792" s="326"/>
      <c r="M792" s="326"/>
      <c r="N792" s="326"/>
      <c r="O792" s="326"/>
      <c r="P792" s="326"/>
      <c r="Q792" s="326"/>
      <c r="R792" s="326"/>
      <c r="S792" s="326"/>
      <c r="T792" s="326"/>
      <c r="U792" s="326"/>
      <c r="V792" s="326"/>
      <c r="W792" s="326"/>
      <c r="X792" s="326"/>
    </row>
    <row r="793" spans="12:24" ht="15.75" customHeight="1">
      <c r="L793" s="326"/>
      <c r="M793" s="326"/>
      <c r="N793" s="326"/>
      <c r="O793" s="326"/>
      <c r="P793" s="326"/>
      <c r="Q793" s="326"/>
      <c r="R793" s="326"/>
      <c r="S793" s="326"/>
      <c r="T793" s="326"/>
      <c r="U793" s="326"/>
      <c r="V793" s="326"/>
      <c r="W793" s="326"/>
      <c r="X793" s="326"/>
    </row>
    <row r="794" spans="12:24" ht="15.75" customHeight="1">
      <c r="L794" s="326"/>
      <c r="M794" s="326"/>
      <c r="N794" s="326"/>
      <c r="O794" s="326"/>
      <c r="P794" s="326"/>
      <c r="Q794" s="326"/>
      <c r="R794" s="326"/>
      <c r="S794" s="326"/>
      <c r="T794" s="326"/>
      <c r="U794" s="326"/>
      <c r="V794" s="326"/>
      <c r="W794" s="326"/>
      <c r="X794" s="326"/>
    </row>
    <row r="795" spans="12:24" ht="15.75" customHeight="1">
      <c r="L795" s="326"/>
      <c r="M795" s="326"/>
      <c r="N795" s="326"/>
      <c r="O795" s="326"/>
      <c r="P795" s="326"/>
      <c r="Q795" s="326"/>
      <c r="R795" s="326"/>
      <c r="S795" s="326"/>
      <c r="T795" s="326"/>
      <c r="U795" s="326"/>
      <c r="V795" s="326"/>
      <c r="W795" s="326"/>
      <c r="X795" s="326"/>
    </row>
    <row r="796" spans="12:24" ht="15.75" customHeight="1">
      <c r="L796" s="326"/>
      <c r="M796" s="326"/>
      <c r="N796" s="326"/>
      <c r="O796" s="326"/>
      <c r="P796" s="326"/>
      <c r="Q796" s="326"/>
      <c r="R796" s="326"/>
      <c r="S796" s="326"/>
      <c r="T796" s="326"/>
      <c r="U796" s="326"/>
      <c r="V796" s="326"/>
      <c r="W796" s="326"/>
      <c r="X796" s="326"/>
    </row>
    <row r="797" spans="12:24" ht="15.75" customHeight="1">
      <c r="L797" s="326"/>
      <c r="M797" s="326"/>
      <c r="N797" s="326"/>
      <c r="O797" s="326"/>
      <c r="P797" s="326"/>
      <c r="Q797" s="326"/>
      <c r="R797" s="326"/>
      <c r="S797" s="326"/>
      <c r="T797" s="326"/>
      <c r="U797" s="326"/>
      <c r="V797" s="326"/>
      <c r="W797" s="326"/>
      <c r="X797" s="326"/>
    </row>
    <row r="798" spans="12:24" ht="15.75" customHeight="1">
      <c r="L798" s="326"/>
      <c r="M798" s="326"/>
      <c r="N798" s="326"/>
      <c r="O798" s="326"/>
      <c r="P798" s="326"/>
      <c r="Q798" s="326"/>
      <c r="R798" s="326"/>
      <c r="S798" s="326"/>
      <c r="T798" s="326"/>
      <c r="U798" s="326"/>
      <c r="V798" s="326"/>
      <c r="W798" s="326"/>
      <c r="X798" s="326"/>
    </row>
    <row r="799" spans="12:24" ht="15.75" customHeight="1">
      <c r="L799" s="326"/>
      <c r="M799" s="326"/>
      <c r="N799" s="326"/>
      <c r="O799" s="326"/>
      <c r="P799" s="326"/>
      <c r="Q799" s="326"/>
      <c r="R799" s="326"/>
      <c r="S799" s="326"/>
      <c r="T799" s="326"/>
      <c r="U799" s="326"/>
      <c r="V799" s="326"/>
      <c r="W799" s="326"/>
      <c r="X799" s="326"/>
    </row>
    <row r="800" spans="12:24" ht="15.75" customHeight="1">
      <c r="L800" s="326"/>
      <c r="M800" s="326"/>
      <c r="N800" s="326"/>
      <c r="O800" s="326"/>
      <c r="P800" s="326"/>
      <c r="Q800" s="326"/>
      <c r="R800" s="326"/>
      <c r="S800" s="326"/>
      <c r="T800" s="326"/>
      <c r="U800" s="326"/>
      <c r="V800" s="326"/>
      <c r="W800" s="326"/>
      <c r="X800" s="326"/>
    </row>
    <row r="801" spans="12:24" ht="15.75" customHeight="1">
      <c r="L801" s="326"/>
      <c r="M801" s="326"/>
      <c r="N801" s="326"/>
      <c r="O801" s="326"/>
      <c r="P801" s="326"/>
      <c r="Q801" s="326"/>
      <c r="R801" s="326"/>
      <c r="S801" s="326"/>
      <c r="T801" s="326"/>
      <c r="U801" s="326"/>
      <c r="V801" s="326"/>
      <c r="W801" s="326"/>
      <c r="X801" s="326"/>
    </row>
    <row r="802" spans="12:24" ht="15.75" customHeight="1">
      <c r="L802" s="326"/>
      <c r="M802" s="326"/>
      <c r="N802" s="326"/>
      <c r="O802" s="326"/>
      <c r="P802" s="326"/>
      <c r="Q802" s="326"/>
      <c r="R802" s="326"/>
      <c r="S802" s="326"/>
      <c r="T802" s="326"/>
      <c r="U802" s="326"/>
      <c r="V802" s="326"/>
      <c r="W802" s="326"/>
      <c r="X802" s="326"/>
    </row>
    <row r="803" spans="12:24" ht="15.75" customHeight="1">
      <c r="L803" s="326"/>
      <c r="M803" s="326"/>
      <c r="N803" s="326"/>
      <c r="O803" s="326"/>
      <c r="P803" s="326"/>
      <c r="Q803" s="326"/>
      <c r="R803" s="326"/>
      <c r="S803" s="326"/>
      <c r="T803" s="326"/>
      <c r="U803" s="326"/>
      <c r="V803" s="326"/>
      <c r="W803" s="326"/>
      <c r="X803" s="326"/>
    </row>
    <row r="804" spans="12:24" ht="15.75" customHeight="1">
      <c r="L804" s="326"/>
      <c r="M804" s="326"/>
      <c r="N804" s="326"/>
      <c r="O804" s="326"/>
      <c r="P804" s="326"/>
      <c r="Q804" s="326"/>
      <c r="R804" s="326"/>
      <c r="S804" s="326"/>
      <c r="T804" s="326"/>
      <c r="U804" s="326"/>
      <c r="V804" s="326"/>
      <c r="W804" s="326"/>
      <c r="X804" s="326"/>
    </row>
    <row r="805" spans="12:24" ht="15.75" customHeight="1">
      <c r="L805" s="326"/>
      <c r="M805" s="326"/>
      <c r="N805" s="326"/>
      <c r="O805" s="326"/>
      <c r="P805" s="326"/>
      <c r="Q805" s="326"/>
      <c r="R805" s="326"/>
      <c r="S805" s="326"/>
      <c r="T805" s="326"/>
      <c r="U805" s="326"/>
      <c r="V805" s="326"/>
      <c r="W805" s="326"/>
      <c r="X805" s="326"/>
    </row>
    <row r="806" spans="12:24" ht="15.75" customHeight="1">
      <c r="L806" s="326"/>
      <c r="M806" s="326"/>
      <c r="N806" s="326"/>
      <c r="O806" s="326"/>
      <c r="P806" s="326"/>
      <c r="Q806" s="326"/>
      <c r="R806" s="326"/>
      <c r="S806" s="326"/>
      <c r="T806" s="326"/>
      <c r="U806" s="326"/>
      <c r="V806" s="326"/>
      <c r="W806" s="326"/>
      <c r="X806" s="326"/>
    </row>
    <row r="807" spans="12:24" ht="15.75" customHeight="1">
      <c r="L807" s="326"/>
      <c r="M807" s="326"/>
      <c r="N807" s="326"/>
      <c r="O807" s="326"/>
      <c r="P807" s="326"/>
      <c r="Q807" s="326"/>
      <c r="R807" s="326"/>
      <c r="S807" s="326"/>
      <c r="T807" s="326"/>
      <c r="U807" s="326"/>
      <c r="V807" s="326"/>
      <c r="W807" s="326"/>
      <c r="X807" s="326"/>
    </row>
    <row r="808" spans="12:24" ht="15.75" customHeight="1">
      <c r="L808" s="326"/>
      <c r="M808" s="326"/>
      <c r="N808" s="326"/>
      <c r="O808" s="326"/>
      <c r="P808" s="326"/>
      <c r="Q808" s="326"/>
      <c r="R808" s="326"/>
      <c r="S808" s="326"/>
      <c r="T808" s="326"/>
      <c r="U808" s="326"/>
      <c r="V808" s="326"/>
      <c r="W808" s="326"/>
      <c r="X808" s="326"/>
    </row>
    <row r="809" spans="12:24" ht="15.75" customHeight="1">
      <c r="L809" s="326"/>
      <c r="M809" s="326"/>
      <c r="N809" s="326"/>
      <c r="O809" s="326"/>
      <c r="P809" s="326"/>
      <c r="Q809" s="326"/>
      <c r="R809" s="326"/>
      <c r="S809" s="326"/>
      <c r="T809" s="326"/>
      <c r="U809" s="326"/>
      <c r="V809" s="326"/>
      <c r="W809" s="326"/>
      <c r="X809" s="326"/>
    </row>
    <row r="810" spans="12:24" ht="15.75" customHeight="1">
      <c r="L810" s="326"/>
      <c r="M810" s="326"/>
      <c r="N810" s="326"/>
      <c r="O810" s="326"/>
      <c r="P810" s="326"/>
      <c r="Q810" s="326"/>
      <c r="R810" s="326"/>
      <c r="S810" s="326"/>
      <c r="T810" s="326"/>
      <c r="U810" s="326"/>
      <c r="V810" s="326"/>
      <c r="W810" s="326"/>
      <c r="X810" s="326"/>
    </row>
    <row r="811" spans="12:24" ht="15.75" customHeight="1">
      <c r="L811" s="326"/>
      <c r="M811" s="326"/>
      <c r="N811" s="326"/>
      <c r="O811" s="326"/>
      <c r="P811" s="326"/>
      <c r="Q811" s="326"/>
      <c r="R811" s="326"/>
      <c r="S811" s="326"/>
      <c r="T811" s="326"/>
      <c r="U811" s="326"/>
      <c r="V811" s="326"/>
      <c r="W811" s="326"/>
      <c r="X811" s="326"/>
    </row>
    <row r="812" spans="12:24" ht="15.75" customHeight="1">
      <c r="L812" s="326"/>
      <c r="M812" s="326"/>
      <c r="N812" s="326"/>
      <c r="O812" s="326"/>
      <c r="P812" s="326"/>
      <c r="Q812" s="326"/>
      <c r="R812" s="326"/>
      <c r="S812" s="326"/>
      <c r="T812" s="326"/>
      <c r="U812" s="326"/>
      <c r="V812" s="326"/>
      <c r="W812" s="326"/>
      <c r="X812" s="326"/>
    </row>
    <row r="813" spans="12:24" ht="15.75" customHeight="1">
      <c r="L813" s="326"/>
      <c r="M813" s="326"/>
      <c r="N813" s="326"/>
      <c r="O813" s="326"/>
      <c r="P813" s="326"/>
      <c r="Q813" s="326"/>
      <c r="R813" s="326"/>
      <c r="S813" s="326"/>
      <c r="T813" s="326"/>
      <c r="U813" s="326"/>
      <c r="V813" s="326"/>
      <c r="W813" s="326"/>
      <c r="X813" s="326"/>
    </row>
    <row r="814" spans="12:24" ht="15.75" customHeight="1">
      <c r="L814" s="326"/>
      <c r="M814" s="326"/>
      <c r="N814" s="326"/>
      <c r="O814" s="326"/>
      <c r="P814" s="326"/>
      <c r="Q814" s="326"/>
      <c r="R814" s="326"/>
      <c r="S814" s="326"/>
      <c r="T814" s="326"/>
      <c r="U814" s="326"/>
      <c r="V814" s="326"/>
      <c r="W814" s="326"/>
      <c r="X814" s="326"/>
    </row>
    <row r="815" spans="12:24" ht="15.75" customHeight="1">
      <c r="L815" s="326"/>
      <c r="M815" s="326"/>
      <c r="N815" s="326"/>
      <c r="O815" s="326"/>
      <c r="P815" s="326"/>
      <c r="Q815" s="326"/>
      <c r="R815" s="326"/>
      <c r="S815" s="326"/>
      <c r="T815" s="326"/>
      <c r="U815" s="326"/>
      <c r="V815" s="326"/>
      <c r="W815" s="326"/>
      <c r="X815" s="326"/>
    </row>
    <row r="816" spans="12:24" ht="15.75" customHeight="1">
      <c r="L816" s="326"/>
      <c r="M816" s="326"/>
      <c r="N816" s="326"/>
      <c r="O816" s="326"/>
      <c r="P816" s="326"/>
      <c r="Q816" s="326"/>
      <c r="R816" s="326"/>
      <c r="S816" s="326"/>
      <c r="T816" s="326"/>
      <c r="U816" s="326"/>
      <c r="V816" s="326"/>
      <c r="W816" s="326"/>
      <c r="X816" s="326"/>
    </row>
    <row r="817" spans="12:24" ht="15.75" customHeight="1">
      <c r="L817" s="326"/>
      <c r="M817" s="326"/>
      <c r="N817" s="326"/>
      <c r="O817" s="326"/>
      <c r="P817" s="326"/>
      <c r="Q817" s="326"/>
      <c r="R817" s="326"/>
      <c r="S817" s="326"/>
      <c r="T817" s="326"/>
      <c r="U817" s="326"/>
      <c r="V817" s="326"/>
      <c r="W817" s="326"/>
      <c r="X817" s="326"/>
    </row>
    <row r="818" spans="12:24" ht="15.75" customHeight="1">
      <c r="L818" s="326"/>
      <c r="M818" s="326"/>
      <c r="N818" s="326"/>
      <c r="O818" s="326"/>
      <c r="P818" s="326"/>
      <c r="Q818" s="326"/>
      <c r="R818" s="326"/>
      <c r="S818" s="326"/>
      <c r="T818" s="326"/>
      <c r="U818" s="326"/>
      <c r="V818" s="326"/>
      <c r="W818" s="326"/>
      <c r="X818" s="326"/>
    </row>
    <row r="819" spans="12:24" ht="15.75" customHeight="1">
      <c r="L819" s="326"/>
      <c r="M819" s="326"/>
      <c r="N819" s="326"/>
      <c r="O819" s="326"/>
      <c r="P819" s="326"/>
      <c r="Q819" s="326"/>
      <c r="R819" s="326"/>
      <c r="S819" s="326"/>
      <c r="T819" s="326"/>
      <c r="U819" s="326"/>
      <c r="V819" s="326"/>
      <c r="W819" s="326"/>
      <c r="X819" s="326"/>
    </row>
    <row r="820" spans="12:24" ht="15.75" customHeight="1">
      <c r="L820" s="326"/>
      <c r="M820" s="326"/>
      <c r="N820" s="326"/>
      <c r="O820" s="326"/>
      <c r="P820" s="326"/>
      <c r="Q820" s="326"/>
      <c r="R820" s="326"/>
      <c r="S820" s="326"/>
      <c r="T820" s="326"/>
      <c r="U820" s="326"/>
      <c r="V820" s="326"/>
      <c r="W820" s="326"/>
      <c r="X820" s="326"/>
    </row>
    <row r="821" spans="12:24" ht="15.75" customHeight="1">
      <c r="L821" s="326"/>
      <c r="M821" s="326"/>
      <c r="N821" s="326"/>
      <c r="O821" s="326"/>
      <c r="P821" s="326"/>
      <c r="Q821" s="326"/>
      <c r="R821" s="326"/>
      <c r="S821" s="326"/>
      <c r="T821" s="326"/>
      <c r="U821" s="326"/>
      <c r="V821" s="326"/>
      <c r="W821" s="326"/>
      <c r="X821" s="326"/>
    </row>
    <row r="822" spans="12:24" ht="15.75" customHeight="1">
      <c r="L822" s="326"/>
      <c r="M822" s="326"/>
      <c r="N822" s="326"/>
      <c r="O822" s="326"/>
      <c r="P822" s="326"/>
      <c r="Q822" s="326"/>
      <c r="R822" s="326"/>
      <c r="S822" s="326"/>
      <c r="T822" s="326"/>
      <c r="U822" s="326"/>
      <c r="V822" s="326"/>
      <c r="W822" s="326"/>
      <c r="X822" s="326"/>
    </row>
    <row r="823" spans="12:24" ht="15.75" customHeight="1">
      <c r="L823" s="326"/>
      <c r="M823" s="326"/>
      <c r="N823" s="326"/>
      <c r="O823" s="326"/>
      <c r="P823" s="326"/>
      <c r="Q823" s="326"/>
      <c r="R823" s="326"/>
      <c r="S823" s="326"/>
      <c r="T823" s="326"/>
      <c r="U823" s="326"/>
      <c r="V823" s="326"/>
      <c r="W823" s="326"/>
      <c r="X823" s="326"/>
    </row>
    <row r="824" spans="12:24" ht="15.75" customHeight="1">
      <c r="L824" s="326"/>
      <c r="M824" s="326"/>
      <c r="N824" s="326"/>
      <c r="O824" s="326"/>
      <c r="P824" s="326"/>
      <c r="Q824" s="326"/>
      <c r="R824" s="326"/>
      <c r="S824" s="326"/>
      <c r="T824" s="326"/>
      <c r="U824" s="326"/>
      <c r="V824" s="326"/>
      <c r="W824" s="326"/>
      <c r="X824" s="326"/>
    </row>
    <row r="825" spans="12:24" ht="15.75" customHeight="1">
      <c r="L825" s="326"/>
      <c r="M825" s="326"/>
      <c r="N825" s="326"/>
      <c r="O825" s="326"/>
      <c r="P825" s="326"/>
      <c r="Q825" s="326"/>
      <c r="R825" s="326"/>
      <c r="S825" s="326"/>
      <c r="T825" s="326"/>
      <c r="U825" s="326"/>
      <c r="V825" s="326"/>
      <c r="W825" s="326"/>
      <c r="X825" s="326"/>
    </row>
    <row r="826" spans="12:24" ht="15.75" customHeight="1">
      <c r="L826" s="326"/>
      <c r="M826" s="326"/>
      <c r="N826" s="326"/>
      <c r="O826" s="326"/>
      <c r="P826" s="326"/>
      <c r="Q826" s="326"/>
      <c r="R826" s="326"/>
      <c r="S826" s="326"/>
      <c r="T826" s="326"/>
      <c r="U826" s="326"/>
      <c r="V826" s="326"/>
      <c r="W826" s="326"/>
      <c r="X826" s="326"/>
    </row>
    <row r="827" spans="12:24" ht="15.75" customHeight="1">
      <c r="L827" s="326"/>
      <c r="M827" s="326"/>
      <c r="N827" s="326"/>
      <c r="O827" s="326"/>
      <c r="P827" s="326"/>
      <c r="Q827" s="326"/>
      <c r="R827" s="326"/>
      <c r="S827" s="326"/>
      <c r="T827" s="326"/>
      <c r="U827" s="326"/>
      <c r="V827" s="326"/>
      <c r="W827" s="326"/>
      <c r="X827" s="326"/>
    </row>
    <row r="828" spans="12:24" ht="15.75" customHeight="1">
      <c r="L828" s="326"/>
      <c r="M828" s="326"/>
      <c r="N828" s="326"/>
      <c r="O828" s="326"/>
      <c r="P828" s="326"/>
      <c r="Q828" s="326"/>
      <c r="R828" s="326"/>
      <c r="S828" s="326"/>
      <c r="T828" s="326"/>
      <c r="U828" s="326"/>
      <c r="V828" s="326"/>
      <c r="W828" s="326"/>
      <c r="X828" s="326"/>
    </row>
    <row r="829" spans="12:24" ht="15.75" customHeight="1">
      <c r="L829" s="326"/>
      <c r="M829" s="326"/>
      <c r="N829" s="326"/>
      <c r="O829" s="326"/>
      <c r="P829" s="326"/>
      <c r="Q829" s="326"/>
      <c r="R829" s="326"/>
      <c r="S829" s="326"/>
      <c r="T829" s="326"/>
      <c r="U829" s="326"/>
      <c r="V829" s="326"/>
      <c r="W829" s="326"/>
      <c r="X829" s="326"/>
    </row>
    <row r="830" spans="12:24" ht="15.75" customHeight="1">
      <c r="L830" s="326"/>
      <c r="M830" s="326"/>
      <c r="N830" s="326"/>
      <c r="O830" s="326"/>
      <c r="P830" s="326"/>
      <c r="Q830" s="326"/>
      <c r="R830" s="326"/>
      <c r="S830" s="326"/>
      <c r="T830" s="326"/>
      <c r="U830" s="326"/>
      <c r="V830" s="326"/>
      <c r="W830" s="326"/>
      <c r="X830" s="326"/>
    </row>
    <row r="831" spans="12:24" ht="15.75" customHeight="1">
      <c r="L831" s="326"/>
      <c r="M831" s="326"/>
      <c r="N831" s="326"/>
      <c r="O831" s="326"/>
      <c r="P831" s="326"/>
      <c r="Q831" s="326"/>
      <c r="R831" s="326"/>
      <c r="S831" s="326"/>
      <c r="T831" s="326"/>
      <c r="U831" s="326"/>
      <c r="V831" s="326"/>
      <c r="W831" s="326"/>
      <c r="X831" s="326"/>
    </row>
    <row r="832" spans="12:24" ht="15.75" customHeight="1">
      <c r="L832" s="326"/>
      <c r="M832" s="326"/>
      <c r="N832" s="326"/>
      <c r="O832" s="326"/>
      <c r="P832" s="326"/>
      <c r="Q832" s="326"/>
      <c r="R832" s="326"/>
      <c r="S832" s="326"/>
      <c r="T832" s="326"/>
      <c r="U832" s="326"/>
      <c r="V832" s="326"/>
      <c r="W832" s="326"/>
      <c r="X832" s="326"/>
    </row>
    <row r="833" spans="12:24" ht="15.75" customHeight="1">
      <c r="L833" s="326"/>
      <c r="M833" s="326"/>
      <c r="N833" s="326"/>
      <c r="O833" s="326"/>
      <c r="P833" s="326"/>
      <c r="Q833" s="326"/>
      <c r="R833" s="326"/>
      <c r="S833" s="326"/>
      <c r="T833" s="326"/>
      <c r="U833" s="326"/>
      <c r="V833" s="326"/>
      <c r="W833" s="326"/>
      <c r="X833" s="326"/>
    </row>
    <row r="834" spans="12:24" ht="15.75" customHeight="1">
      <c r="L834" s="326"/>
      <c r="M834" s="326"/>
      <c r="N834" s="326"/>
      <c r="O834" s="326"/>
      <c r="P834" s="326"/>
      <c r="Q834" s="326"/>
      <c r="R834" s="326"/>
      <c r="S834" s="326"/>
      <c r="T834" s="326"/>
      <c r="U834" s="326"/>
      <c r="V834" s="326"/>
      <c r="W834" s="326"/>
      <c r="X834" s="326"/>
    </row>
    <row r="835" spans="12:24" ht="15.75" customHeight="1">
      <c r="L835" s="326"/>
      <c r="M835" s="326"/>
      <c r="N835" s="326"/>
      <c r="O835" s="326"/>
      <c r="P835" s="326"/>
      <c r="Q835" s="326"/>
      <c r="R835" s="326"/>
      <c r="S835" s="326"/>
      <c r="T835" s="326"/>
      <c r="U835" s="326"/>
      <c r="V835" s="326"/>
      <c r="W835" s="326"/>
      <c r="X835" s="326"/>
    </row>
    <row r="836" spans="12:24" ht="15.75" customHeight="1">
      <c r="L836" s="326"/>
      <c r="M836" s="326"/>
      <c r="N836" s="326"/>
      <c r="O836" s="326"/>
      <c r="P836" s="326"/>
      <c r="Q836" s="326"/>
      <c r="R836" s="326"/>
      <c r="S836" s="326"/>
      <c r="T836" s="326"/>
      <c r="U836" s="326"/>
      <c r="V836" s="326"/>
      <c r="W836" s="326"/>
      <c r="X836" s="326"/>
    </row>
    <row r="837" spans="12:24" ht="15.75" customHeight="1">
      <c r="L837" s="326"/>
      <c r="M837" s="326"/>
      <c r="N837" s="326"/>
      <c r="O837" s="326"/>
      <c r="P837" s="326"/>
      <c r="Q837" s="326"/>
      <c r="R837" s="326"/>
      <c r="S837" s="326"/>
      <c r="T837" s="326"/>
      <c r="U837" s="326"/>
      <c r="V837" s="326"/>
      <c r="W837" s="326"/>
      <c r="X837" s="326"/>
    </row>
    <row r="838" spans="12:24" ht="15.75" customHeight="1">
      <c r="L838" s="326"/>
      <c r="M838" s="326"/>
      <c r="N838" s="326"/>
      <c r="O838" s="326"/>
      <c r="P838" s="326"/>
      <c r="Q838" s="326"/>
      <c r="R838" s="326"/>
      <c r="S838" s="326"/>
      <c r="T838" s="326"/>
      <c r="U838" s="326"/>
      <c r="V838" s="326"/>
      <c r="W838" s="326"/>
      <c r="X838" s="326"/>
    </row>
    <row r="839" spans="12:24" ht="15.75" customHeight="1">
      <c r="L839" s="326"/>
      <c r="M839" s="326"/>
      <c r="N839" s="326"/>
      <c r="O839" s="326"/>
      <c r="P839" s="326"/>
      <c r="Q839" s="326"/>
      <c r="R839" s="326"/>
      <c r="S839" s="326"/>
      <c r="T839" s="326"/>
      <c r="U839" s="326"/>
      <c r="V839" s="326"/>
      <c r="W839" s="326"/>
      <c r="X839" s="326"/>
    </row>
    <row r="840" spans="12:24" ht="15.75" customHeight="1">
      <c r="L840" s="326"/>
      <c r="M840" s="326"/>
      <c r="N840" s="326"/>
      <c r="O840" s="326"/>
      <c r="P840" s="326"/>
      <c r="Q840" s="326"/>
      <c r="R840" s="326"/>
      <c r="S840" s="326"/>
      <c r="T840" s="326"/>
      <c r="U840" s="326"/>
      <c r="V840" s="326"/>
      <c r="W840" s="326"/>
      <c r="X840" s="326"/>
    </row>
    <row r="841" spans="12:24" ht="15.75" customHeight="1">
      <c r="L841" s="326"/>
      <c r="M841" s="326"/>
      <c r="N841" s="326"/>
      <c r="O841" s="326"/>
      <c r="P841" s="326"/>
      <c r="Q841" s="326"/>
      <c r="R841" s="326"/>
      <c r="S841" s="326"/>
      <c r="T841" s="326"/>
      <c r="U841" s="326"/>
      <c r="V841" s="326"/>
      <c r="W841" s="326"/>
      <c r="X841" s="326"/>
    </row>
    <row r="842" spans="12:24" ht="15.75" customHeight="1">
      <c r="L842" s="326"/>
      <c r="M842" s="326"/>
      <c r="N842" s="326"/>
      <c r="O842" s="326"/>
      <c r="P842" s="326"/>
      <c r="Q842" s="326"/>
      <c r="R842" s="326"/>
      <c r="S842" s="326"/>
      <c r="T842" s="326"/>
      <c r="U842" s="326"/>
      <c r="V842" s="326"/>
      <c r="W842" s="326"/>
      <c r="X842" s="326"/>
    </row>
    <row r="843" spans="12:24" ht="15.75" customHeight="1">
      <c r="L843" s="326"/>
      <c r="M843" s="326"/>
      <c r="N843" s="326"/>
      <c r="O843" s="326"/>
      <c r="P843" s="326"/>
      <c r="Q843" s="326"/>
      <c r="R843" s="326"/>
      <c r="S843" s="326"/>
      <c r="T843" s="326"/>
      <c r="U843" s="326"/>
      <c r="V843" s="326"/>
      <c r="W843" s="326"/>
      <c r="X843" s="326"/>
    </row>
    <row r="844" spans="12:24" ht="15.75" customHeight="1">
      <c r="L844" s="326"/>
      <c r="M844" s="326"/>
      <c r="N844" s="326"/>
      <c r="O844" s="326"/>
      <c r="P844" s="326"/>
      <c r="Q844" s="326"/>
      <c r="R844" s="326"/>
      <c r="S844" s="326"/>
      <c r="T844" s="326"/>
      <c r="U844" s="326"/>
      <c r="V844" s="326"/>
      <c r="W844" s="326"/>
      <c r="X844" s="326"/>
    </row>
    <row r="845" spans="12:24" ht="15.75" customHeight="1">
      <c r="L845" s="326"/>
      <c r="M845" s="326"/>
      <c r="N845" s="326"/>
      <c r="O845" s="326"/>
      <c r="P845" s="326"/>
      <c r="Q845" s="326"/>
      <c r="R845" s="326"/>
      <c r="S845" s="326"/>
      <c r="T845" s="326"/>
      <c r="U845" s="326"/>
      <c r="V845" s="326"/>
      <c r="W845" s="326"/>
      <c r="X845" s="326"/>
    </row>
    <row r="846" spans="12:24" ht="15.75" customHeight="1">
      <c r="L846" s="326"/>
      <c r="M846" s="326"/>
      <c r="N846" s="326"/>
      <c r="O846" s="326"/>
      <c r="P846" s="326"/>
      <c r="Q846" s="326"/>
      <c r="R846" s="326"/>
      <c r="S846" s="326"/>
      <c r="T846" s="326"/>
      <c r="U846" s="326"/>
      <c r="V846" s="326"/>
      <c r="W846" s="326"/>
      <c r="X846" s="326"/>
    </row>
    <row r="847" spans="12:24" ht="15.75" customHeight="1">
      <c r="L847" s="326"/>
      <c r="M847" s="326"/>
      <c r="N847" s="326"/>
      <c r="O847" s="326"/>
      <c r="P847" s="326"/>
      <c r="Q847" s="326"/>
      <c r="R847" s="326"/>
      <c r="S847" s="326"/>
      <c r="T847" s="326"/>
      <c r="U847" s="326"/>
      <c r="V847" s="326"/>
      <c r="W847" s="326"/>
      <c r="X847" s="326"/>
    </row>
    <row r="848" spans="12:24" ht="15.75" customHeight="1">
      <c r="L848" s="326"/>
      <c r="M848" s="326"/>
      <c r="N848" s="326"/>
      <c r="O848" s="326"/>
      <c r="P848" s="326"/>
      <c r="Q848" s="326"/>
      <c r="R848" s="326"/>
      <c r="S848" s="326"/>
      <c r="T848" s="326"/>
      <c r="U848" s="326"/>
      <c r="V848" s="326"/>
      <c r="W848" s="326"/>
      <c r="X848" s="326"/>
    </row>
    <row r="849" spans="12:24" ht="15.75" customHeight="1">
      <c r="L849" s="326"/>
      <c r="M849" s="326"/>
      <c r="N849" s="326"/>
      <c r="O849" s="326"/>
      <c r="P849" s="326"/>
      <c r="Q849" s="326"/>
      <c r="R849" s="326"/>
      <c r="S849" s="326"/>
      <c r="T849" s="326"/>
      <c r="U849" s="326"/>
      <c r="V849" s="326"/>
      <c r="W849" s="326"/>
      <c r="X849" s="326"/>
    </row>
    <row r="850" spans="12:24" ht="15.75" customHeight="1">
      <c r="L850" s="326"/>
      <c r="M850" s="326"/>
      <c r="N850" s="326"/>
      <c r="O850" s="326"/>
      <c r="P850" s="326"/>
      <c r="Q850" s="326"/>
      <c r="R850" s="326"/>
      <c r="S850" s="326"/>
      <c r="T850" s="326"/>
      <c r="U850" s="326"/>
      <c r="V850" s="326"/>
      <c r="W850" s="326"/>
      <c r="X850" s="326"/>
    </row>
    <row r="851" spans="12:24" ht="15.75" customHeight="1">
      <c r="L851" s="326"/>
      <c r="M851" s="326"/>
      <c r="N851" s="326"/>
      <c r="O851" s="326"/>
      <c r="P851" s="326"/>
      <c r="Q851" s="326"/>
      <c r="R851" s="326"/>
      <c r="S851" s="326"/>
      <c r="T851" s="326"/>
      <c r="U851" s="326"/>
      <c r="V851" s="326"/>
      <c r="W851" s="326"/>
      <c r="X851" s="326"/>
    </row>
    <row r="852" spans="12:24" ht="15.75" customHeight="1">
      <c r="L852" s="326"/>
      <c r="M852" s="326"/>
      <c r="N852" s="326"/>
      <c r="O852" s="326"/>
      <c r="P852" s="326"/>
      <c r="Q852" s="326"/>
      <c r="R852" s="326"/>
      <c r="S852" s="326"/>
      <c r="T852" s="326"/>
      <c r="U852" s="326"/>
      <c r="V852" s="326"/>
      <c r="W852" s="326"/>
      <c r="X852" s="326"/>
    </row>
    <row r="853" spans="12:24" ht="15.75" customHeight="1">
      <c r="L853" s="326"/>
      <c r="M853" s="326"/>
      <c r="N853" s="326"/>
      <c r="O853" s="326"/>
      <c r="P853" s="326"/>
      <c r="Q853" s="326"/>
      <c r="R853" s="326"/>
      <c r="S853" s="326"/>
      <c r="T853" s="326"/>
      <c r="U853" s="326"/>
      <c r="V853" s="326"/>
      <c r="W853" s="326"/>
      <c r="X853" s="326"/>
    </row>
    <row r="854" spans="12:24" ht="15.75" customHeight="1">
      <c r="L854" s="326"/>
      <c r="M854" s="326"/>
      <c r="N854" s="326"/>
      <c r="O854" s="326"/>
      <c r="P854" s="326"/>
      <c r="Q854" s="326"/>
      <c r="R854" s="326"/>
      <c r="S854" s="326"/>
      <c r="T854" s="326"/>
      <c r="U854" s="326"/>
      <c r="V854" s="326"/>
      <c r="W854" s="326"/>
      <c r="X854" s="326"/>
    </row>
    <row r="855" spans="12:24" ht="15.75" customHeight="1">
      <c r="L855" s="326"/>
      <c r="M855" s="326"/>
      <c r="N855" s="326"/>
      <c r="O855" s="326"/>
      <c r="P855" s="326"/>
      <c r="Q855" s="326"/>
      <c r="R855" s="326"/>
      <c r="S855" s="326"/>
      <c r="T855" s="326"/>
      <c r="U855" s="326"/>
      <c r="V855" s="326"/>
      <c r="W855" s="326"/>
      <c r="X855" s="326"/>
    </row>
    <row r="856" spans="12:24" ht="15.75" customHeight="1">
      <c r="L856" s="326"/>
      <c r="M856" s="326"/>
      <c r="N856" s="326"/>
      <c r="O856" s="326"/>
      <c r="P856" s="326"/>
      <c r="Q856" s="326"/>
      <c r="R856" s="326"/>
      <c r="S856" s="326"/>
      <c r="T856" s="326"/>
      <c r="U856" s="326"/>
      <c r="V856" s="326"/>
      <c r="W856" s="326"/>
      <c r="X856" s="326"/>
    </row>
    <row r="857" spans="12:24" ht="15.75" customHeight="1">
      <c r="L857" s="326"/>
      <c r="M857" s="326"/>
      <c r="N857" s="326"/>
      <c r="O857" s="326"/>
      <c r="P857" s="326"/>
      <c r="Q857" s="326"/>
      <c r="R857" s="326"/>
      <c r="S857" s="326"/>
      <c r="T857" s="326"/>
      <c r="U857" s="326"/>
      <c r="V857" s="326"/>
      <c r="W857" s="326"/>
      <c r="X857" s="326"/>
    </row>
    <row r="858" spans="12:24" ht="15.75" customHeight="1">
      <c r="L858" s="326"/>
      <c r="M858" s="326"/>
      <c r="N858" s="326"/>
      <c r="O858" s="326"/>
      <c r="P858" s="326"/>
      <c r="Q858" s="326"/>
      <c r="R858" s="326"/>
      <c r="S858" s="326"/>
      <c r="T858" s="326"/>
      <c r="U858" s="326"/>
      <c r="V858" s="326"/>
      <c r="W858" s="326"/>
      <c r="X858" s="326"/>
    </row>
    <row r="859" spans="12:24" ht="15.75" customHeight="1">
      <c r="L859" s="326"/>
      <c r="M859" s="326"/>
      <c r="N859" s="326"/>
      <c r="O859" s="326"/>
      <c r="P859" s="326"/>
      <c r="Q859" s="326"/>
      <c r="R859" s="326"/>
      <c r="S859" s="326"/>
      <c r="T859" s="326"/>
      <c r="U859" s="326"/>
      <c r="V859" s="326"/>
      <c r="W859" s="326"/>
      <c r="X859" s="326"/>
    </row>
    <row r="860" spans="12:24" ht="15.75" customHeight="1">
      <c r="L860" s="326"/>
      <c r="M860" s="326"/>
      <c r="N860" s="326"/>
      <c r="O860" s="326"/>
      <c r="P860" s="326"/>
      <c r="Q860" s="326"/>
      <c r="R860" s="326"/>
      <c r="S860" s="326"/>
      <c r="T860" s="326"/>
      <c r="U860" s="326"/>
      <c r="V860" s="326"/>
      <c r="W860" s="326"/>
      <c r="X860" s="326"/>
    </row>
    <row r="861" spans="12:24" ht="15.75" customHeight="1">
      <c r="L861" s="326"/>
      <c r="M861" s="326"/>
      <c r="N861" s="326"/>
      <c r="O861" s="326"/>
      <c r="P861" s="326"/>
      <c r="Q861" s="326"/>
      <c r="R861" s="326"/>
      <c r="S861" s="326"/>
      <c r="T861" s="326"/>
      <c r="U861" s="326"/>
      <c r="V861" s="326"/>
      <c r="W861" s="326"/>
      <c r="X861" s="326"/>
    </row>
    <row r="862" spans="12:24" ht="15.75" customHeight="1">
      <c r="L862" s="326"/>
      <c r="M862" s="326"/>
      <c r="N862" s="326"/>
      <c r="O862" s="326"/>
      <c r="P862" s="326"/>
      <c r="Q862" s="326"/>
      <c r="R862" s="326"/>
      <c r="S862" s="326"/>
      <c r="T862" s="326"/>
      <c r="U862" s="326"/>
      <c r="V862" s="326"/>
      <c r="W862" s="326"/>
      <c r="X862" s="326"/>
    </row>
    <row r="863" spans="12:24" ht="15.75" customHeight="1">
      <c r="L863" s="326"/>
      <c r="M863" s="326"/>
      <c r="N863" s="326"/>
      <c r="O863" s="326"/>
      <c r="P863" s="326"/>
      <c r="Q863" s="326"/>
      <c r="R863" s="326"/>
      <c r="S863" s="326"/>
      <c r="T863" s="326"/>
      <c r="U863" s="326"/>
      <c r="V863" s="326"/>
      <c r="W863" s="326"/>
      <c r="X863" s="326"/>
    </row>
    <row r="864" spans="12:24" ht="15.75" customHeight="1">
      <c r="L864" s="326"/>
      <c r="M864" s="326"/>
      <c r="N864" s="326"/>
      <c r="O864" s="326"/>
      <c r="P864" s="326"/>
      <c r="Q864" s="326"/>
      <c r="R864" s="326"/>
      <c r="S864" s="326"/>
      <c r="T864" s="326"/>
      <c r="U864" s="326"/>
      <c r="V864" s="326"/>
      <c r="W864" s="326"/>
      <c r="X864" s="326"/>
    </row>
    <row r="865" spans="12:24" ht="15.75" customHeight="1">
      <c r="L865" s="326"/>
      <c r="M865" s="326"/>
      <c r="N865" s="326"/>
      <c r="O865" s="326"/>
      <c r="P865" s="326"/>
      <c r="Q865" s="326"/>
      <c r="R865" s="326"/>
      <c r="S865" s="326"/>
      <c r="T865" s="326"/>
      <c r="U865" s="326"/>
      <c r="V865" s="326"/>
      <c r="W865" s="326"/>
      <c r="X865" s="326"/>
    </row>
    <row r="866" spans="12:24" ht="15.75" customHeight="1">
      <c r="L866" s="326"/>
      <c r="M866" s="326"/>
      <c r="N866" s="326"/>
      <c r="O866" s="326"/>
      <c r="P866" s="326"/>
      <c r="Q866" s="326"/>
      <c r="R866" s="326"/>
      <c r="S866" s="326"/>
      <c r="T866" s="326"/>
      <c r="U866" s="326"/>
      <c r="V866" s="326"/>
      <c r="W866" s="326"/>
      <c r="X866" s="326"/>
    </row>
    <row r="867" spans="12:24" ht="15.75" customHeight="1">
      <c r="L867" s="326"/>
      <c r="M867" s="326"/>
      <c r="N867" s="326"/>
      <c r="O867" s="326"/>
      <c r="P867" s="326"/>
      <c r="Q867" s="326"/>
      <c r="R867" s="326"/>
      <c r="S867" s="326"/>
      <c r="T867" s="326"/>
      <c r="U867" s="326"/>
      <c r="V867" s="326"/>
      <c r="W867" s="326"/>
      <c r="X867" s="326"/>
    </row>
    <row r="868" spans="12:24" ht="15.75" customHeight="1">
      <c r="L868" s="326"/>
      <c r="M868" s="326"/>
      <c r="N868" s="326"/>
      <c r="O868" s="326"/>
      <c r="P868" s="326"/>
      <c r="Q868" s="326"/>
      <c r="R868" s="326"/>
      <c r="S868" s="326"/>
      <c r="T868" s="326"/>
      <c r="U868" s="326"/>
      <c r="V868" s="326"/>
      <c r="W868" s="326"/>
      <c r="X868" s="326"/>
    </row>
    <row r="869" spans="12:24" ht="15.75" customHeight="1">
      <c r="L869" s="326"/>
      <c r="M869" s="326"/>
      <c r="N869" s="326"/>
      <c r="O869" s="326"/>
      <c r="P869" s="326"/>
      <c r="Q869" s="326"/>
      <c r="R869" s="326"/>
      <c r="S869" s="326"/>
      <c r="T869" s="326"/>
      <c r="U869" s="326"/>
      <c r="V869" s="326"/>
      <c r="W869" s="326"/>
      <c r="X869" s="326"/>
    </row>
    <row r="870" spans="12:24" ht="15.75" customHeight="1">
      <c r="L870" s="326"/>
      <c r="M870" s="326"/>
      <c r="N870" s="326"/>
      <c r="O870" s="326"/>
      <c r="P870" s="326"/>
      <c r="Q870" s="326"/>
      <c r="R870" s="326"/>
      <c r="S870" s="326"/>
      <c r="T870" s="326"/>
      <c r="U870" s="326"/>
      <c r="V870" s="326"/>
      <c r="W870" s="326"/>
      <c r="X870" s="326"/>
    </row>
    <row r="871" spans="12:24" ht="15.75" customHeight="1">
      <c r="L871" s="326"/>
      <c r="M871" s="326"/>
      <c r="N871" s="326"/>
      <c r="O871" s="326"/>
      <c r="P871" s="326"/>
      <c r="Q871" s="326"/>
      <c r="R871" s="326"/>
      <c r="S871" s="326"/>
      <c r="T871" s="326"/>
      <c r="U871" s="326"/>
      <c r="V871" s="326"/>
      <c r="W871" s="326"/>
      <c r="X871" s="326"/>
    </row>
    <row r="872" spans="12:24" ht="15.75" customHeight="1">
      <c r="L872" s="326"/>
      <c r="M872" s="326"/>
      <c r="N872" s="326"/>
      <c r="O872" s="326"/>
      <c r="P872" s="326"/>
      <c r="Q872" s="326"/>
      <c r="R872" s="326"/>
      <c r="S872" s="326"/>
      <c r="T872" s="326"/>
      <c r="U872" s="326"/>
      <c r="V872" s="326"/>
      <c r="W872" s="326"/>
      <c r="X872" s="326"/>
    </row>
    <row r="873" spans="12:24" ht="15.75" customHeight="1">
      <c r="L873" s="326"/>
      <c r="M873" s="326"/>
      <c r="N873" s="326"/>
      <c r="O873" s="326"/>
      <c r="P873" s="326"/>
      <c r="Q873" s="326"/>
      <c r="R873" s="326"/>
      <c r="S873" s="326"/>
      <c r="T873" s="326"/>
      <c r="U873" s="326"/>
      <c r="V873" s="326"/>
      <c r="W873" s="326"/>
      <c r="X873" s="326"/>
    </row>
    <row r="874" spans="12:24" ht="15.75" customHeight="1">
      <c r="L874" s="326"/>
      <c r="M874" s="326"/>
      <c r="N874" s="326"/>
      <c r="O874" s="326"/>
      <c r="P874" s="326"/>
      <c r="Q874" s="326"/>
      <c r="R874" s="326"/>
      <c r="S874" s="326"/>
      <c r="T874" s="326"/>
      <c r="U874" s="326"/>
      <c r="V874" s="326"/>
      <c r="W874" s="326"/>
      <c r="X874" s="326"/>
    </row>
    <row r="875" spans="12:24" ht="15.75" customHeight="1">
      <c r="L875" s="326"/>
      <c r="M875" s="326"/>
      <c r="N875" s="326"/>
      <c r="O875" s="326"/>
      <c r="P875" s="326"/>
      <c r="Q875" s="326"/>
      <c r="R875" s="326"/>
      <c r="S875" s="326"/>
      <c r="T875" s="326"/>
      <c r="U875" s="326"/>
      <c r="V875" s="326"/>
      <c r="W875" s="326"/>
      <c r="X875" s="326"/>
    </row>
    <row r="876" spans="12:24" ht="15.75" customHeight="1">
      <c r="L876" s="326"/>
      <c r="M876" s="326"/>
      <c r="N876" s="326"/>
      <c r="O876" s="326"/>
      <c r="P876" s="326"/>
      <c r="Q876" s="326"/>
      <c r="R876" s="326"/>
      <c r="S876" s="326"/>
      <c r="T876" s="326"/>
      <c r="U876" s="326"/>
      <c r="V876" s="326"/>
      <c r="W876" s="326"/>
      <c r="X876" s="326"/>
    </row>
    <row r="877" spans="12:24" ht="15.75" customHeight="1">
      <c r="L877" s="326"/>
      <c r="M877" s="326"/>
      <c r="N877" s="326"/>
      <c r="O877" s="326"/>
      <c r="P877" s="326"/>
      <c r="Q877" s="326"/>
      <c r="R877" s="326"/>
      <c r="S877" s="326"/>
      <c r="T877" s="326"/>
      <c r="U877" s="326"/>
      <c r="V877" s="326"/>
      <c r="W877" s="326"/>
      <c r="X877" s="326"/>
    </row>
    <row r="878" spans="12:24" ht="15.75" customHeight="1">
      <c r="L878" s="326"/>
      <c r="M878" s="326"/>
      <c r="N878" s="326"/>
      <c r="O878" s="326"/>
      <c r="P878" s="326"/>
      <c r="Q878" s="326"/>
      <c r="R878" s="326"/>
      <c r="S878" s="326"/>
      <c r="T878" s="326"/>
      <c r="U878" s="326"/>
      <c r="V878" s="326"/>
      <c r="W878" s="326"/>
      <c r="X878" s="326"/>
    </row>
    <row r="879" spans="12:24" ht="15.75" customHeight="1">
      <c r="L879" s="326"/>
      <c r="M879" s="326"/>
      <c r="N879" s="326"/>
      <c r="O879" s="326"/>
      <c r="P879" s="326"/>
      <c r="Q879" s="326"/>
      <c r="R879" s="326"/>
      <c r="S879" s="326"/>
      <c r="T879" s="326"/>
      <c r="U879" s="326"/>
      <c r="V879" s="326"/>
      <c r="W879" s="326"/>
      <c r="X879" s="326"/>
    </row>
    <row r="880" spans="12:24" ht="15.75" customHeight="1">
      <c r="L880" s="326"/>
      <c r="M880" s="326"/>
      <c r="N880" s="326"/>
      <c r="O880" s="326"/>
      <c r="P880" s="326"/>
      <c r="Q880" s="326"/>
      <c r="R880" s="326"/>
      <c r="S880" s="326"/>
      <c r="T880" s="326"/>
      <c r="U880" s="326"/>
      <c r="V880" s="326"/>
      <c r="W880" s="326"/>
      <c r="X880" s="326"/>
    </row>
    <row r="881" spans="12:24" ht="15.75" customHeight="1">
      <c r="L881" s="326"/>
      <c r="M881" s="326"/>
      <c r="N881" s="326"/>
      <c r="O881" s="326"/>
      <c r="P881" s="326"/>
      <c r="Q881" s="326"/>
      <c r="R881" s="326"/>
      <c r="S881" s="326"/>
      <c r="T881" s="326"/>
      <c r="U881" s="326"/>
      <c r="V881" s="326"/>
      <c r="W881" s="326"/>
      <c r="X881" s="326"/>
    </row>
    <row r="882" spans="12:24" ht="15.75" customHeight="1">
      <c r="L882" s="326"/>
      <c r="M882" s="326"/>
      <c r="N882" s="326"/>
      <c r="O882" s="326"/>
      <c r="P882" s="326"/>
      <c r="Q882" s="326"/>
      <c r="R882" s="326"/>
      <c r="S882" s="326"/>
      <c r="T882" s="326"/>
      <c r="U882" s="326"/>
      <c r="V882" s="326"/>
      <c r="W882" s="326"/>
      <c r="X882" s="326"/>
    </row>
    <row r="883" spans="12:24" ht="15.75" customHeight="1">
      <c r="L883" s="326"/>
      <c r="M883" s="326"/>
      <c r="N883" s="326"/>
      <c r="O883" s="326"/>
      <c r="P883" s="326"/>
      <c r="Q883" s="326"/>
      <c r="R883" s="326"/>
      <c r="S883" s="326"/>
      <c r="T883" s="326"/>
      <c r="U883" s="326"/>
      <c r="V883" s="326"/>
      <c r="W883" s="326"/>
      <c r="X883" s="326"/>
    </row>
    <row r="884" spans="12:24" ht="15.75" customHeight="1">
      <c r="L884" s="326"/>
      <c r="M884" s="326"/>
      <c r="N884" s="326"/>
      <c r="O884" s="326"/>
      <c r="P884" s="326"/>
      <c r="Q884" s="326"/>
      <c r="R884" s="326"/>
      <c r="S884" s="326"/>
      <c r="T884" s="326"/>
      <c r="U884" s="326"/>
      <c r="V884" s="326"/>
      <c r="W884" s="326"/>
      <c r="X884" s="326"/>
    </row>
    <row r="885" spans="12:24" ht="15.75" customHeight="1">
      <c r="L885" s="326"/>
      <c r="M885" s="326"/>
      <c r="N885" s="326"/>
      <c r="O885" s="326"/>
      <c r="P885" s="326"/>
      <c r="Q885" s="326"/>
      <c r="R885" s="326"/>
      <c r="S885" s="326"/>
      <c r="T885" s="326"/>
      <c r="U885" s="326"/>
      <c r="V885" s="326"/>
      <c r="W885" s="326"/>
      <c r="X885" s="326"/>
    </row>
    <row r="886" spans="12:24" ht="15.75" customHeight="1">
      <c r="L886" s="326"/>
      <c r="M886" s="326"/>
      <c r="N886" s="326"/>
      <c r="O886" s="326"/>
      <c r="P886" s="326"/>
      <c r="Q886" s="326"/>
      <c r="R886" s="326"/>
      <c r="S886" s="326"/>
      <c r="T886" s="326"/>
      <c r="U886" s="326"/>
      <c r="V886" s="326"/>
      <c r="W886" s="326"/>
      <c r="X886" s="326"/>
    </row>
    <row r="887" spans="12:24" ht="15.75" customHeight="1">
      <c r="L887" s="326"/>
      <c r="M887" s="326"/>
      <c r="N887" s="326"/>
      <c r="O887" s="326"/>
      <c r="P887" s="326"/>
      <c r="Q887" s="326"/>
      <c r="R887" s="326"/>
      <c r="S887" s="326"/>
      <c r="T887" s="326"/>
      <c r="U887" s="326"/>
      <c r="V887" s="326"/>
      <c r="W887" s="326"/>
      <c r="X887" s="326"/>
    </row>
    <row r="888" spans="12:24" ht="15.75" customHeight="1">
      <c r="L888" s="326"/>
      <c r="M888" s="326"/>
      <c r="N888" s="326"/>
      <c r="O888" s="326"/>
      <c r="P888" s="326"/>
      <c r="Q888" s="326"/>
      <c r="R888" s="326"/>
      <c r="S888" s="326"/>
      <c r="T888" s="326"/>
      <c r="U888" s="326"/>
      <c r="V888" s="326"/>
      <c r="W888" s="326"/>
      <c r="X888" s="326"/>
    </row>
    <row r="889" spans="12:24" ht="15.75" customHeight="1">
      <c r="L889" s="326"/>
      <c r="M889" s="326"/>
      <c r="N889" s="326"/>
      <c r="O889" s="326"/>
      <c r="P889" s="326"/>
      <c r="Q889" s="326"/>
      <c r="R889" s="326"/>
      <c r="S889" s="326"/>
      <c r="T889" s="326"/>
      <c r="U889" s="326"/>
      <c r="V889" s="326"/>
      <c r="W889" s="326"/>
      <c r="X889" s="326"/>
    </row>
    <row r="890" spans="12:24" ht="15.75" customHeight="1">
      <c r="L890" s="326"/>
      <c r="M890" s="326"/>
      <c r="N890" s="326"/>
      <c r="O890" s="326"/>
      <c r="P890" s="326"/>
      <c r="Q890" s="326"/>
      <c r="R890" s="326"/>
      <c r="S890" s="326"/>
      <c r="T890" s="326"/>
      <c r="U890" s="326"/>
      <c r="V890" s="326"/>
      <c r="W890" s="326"/>
      <c r="X890" s="326"/>
    </row>
    <row r="891" spans="12:24" ht="15.75" customHeight="1">
      <c r="L891" s="326"/>
      <c r="M891" s="326"/>
      <c r="N891" s="326"/>
      <c r="O891" s="326"/>
      <c r="P891" s="326"/>
      <c r="Q891" s="326"/>
      <c r="R891" s="326"/>
      <c r="S891" s="326"/>
      <c r="T891" s="326"/>
      <c r="U891" s="326"/>
      <c r="V891" s="326"/>
      <c r="W891" s="326"/>
      <c r="X891" s="326"/>
    </row>
    <row r="892" spans="12:24" ht="15.75" customHeight="1">
      <c r="L892" s="326"/>
      <c r="M892" s="326"/>
      <c r="N892" s="326"/>
      <c r="O892" s="326"/>
      <c r="P892" s="326"/>
      <c r="Q892" s="326"/>
      <c r="R892" s="326"/>
      <c r="S892" s="326"/>
      <c r="T892" s="326"/>
      <c r="U892" s="326"/>
      <c r="V892" s="326"/>
      <c r="W892" s="326"/>
      <c r="X892" s="326"/>
    </row>
    <row r="893" spans="12:24" ht="15.75" customHeight="1">
      <c r="L893" s="326"/>
      <c r="M893" s="326"/>
      <c r="N893" s="326"/>
      <c r="O893" s="326"/>
      <c r="P893" s="326"/>
      <c r="Q893" s="326"/>
      <c r="R893" s="326"/>
      <c r="S893" s="326"/>
      <c r="T893" s="326"/>
      <c r="U893" s="326"/>
      <c r="V893" s="326"/>
      <c r="W893" s="326"/>
      <c r="X893" s="326"/>
    </row>
    <row r="894" spans="12:24" ht="15.75" customHeight="1">
      <c r="L894" s="326"/>
      <c r="M894" s="326"/>
      <c r="N894" s="326"/>
      <c r="O894" s="326"/>
      <c r="P894" s="326"/>
      <c r="Q894" s="326"/>
      <c r="R894" s="326"/>
      <c r="S894" s="326"/>
      <c r="T894" s="326"/>
      <c r="U894" s="326"/>
      <c r="V894" s="326"/>
      <c r="W894" s="326"/>
      <c r="X894" s="326"/>
    </row>
    <row r="895" spans="12:24" ht="15.75" customHeight="1">
      <c r="L895" s="326"/>
      <c r="M895" s="326"/>
      <c r="N895" s="326"/>
      <c r="O895" s="326"/>
      <c r="P895" s="326"/>
      <c r="Q895" s="326"/>
      <c r="R895" s="326"/>
      <c r="S895" s="326"/>
      <c r="T895" s="326"/>
      <c r="U895" s="326"/>
      <c r="V895" s="326"/>
      <c r="W895" s="326"/>
      <c r="X895" s="326"/>
    </row>
    <row r="896" spans="12:24" ht="15.75" customHeight="1">
      <c r="L896" s="326"/>
      <c r="M896" s="326"/>
      <c r="N896" s="326"/>
      <c r="O896" s="326"/>
      <c r="P896" s="326"/>
      <c r="Q896" s="326"/>
      <c r="R896" s="326"/>
      <c r="S896" s="326"/>
      <c r="T896" s="326"/>
      <c r="U896" s="326"/>
      <c r="V896" s="326"/>
      <c r="W896" s="326"/>
      <c r="X896" s="326"/>
    </row>
    <row r="897" spans="12:24" ht="15.75" customHeight="1">
      <c r="L897" s="326"/>
      <c r="M897" s="326"/>
      <c r="N897" s="326"/>
      <c r="O897" s="326"/>
      <c r="P897" s="326"/>
      <c r="Q897" s="326"/>
      <c r="R897" s="326"/>
      <c r="S897" s="326"/>
      <c r="T897" s="326"/>
      <c r="U897" s="326"/>
      <c r="V897" s="326"/>
      <c r="W897" s="326"/>
      <c r="X897" s="326"/>
    </row>
    <row r="898" spans="12:24" ht="15.75" customHeight="1">
      <c r="L898" s="326"/>
      <c r="M898" s="326"/>
      <c r="N898" s="326"/>
      <c r="O898" s="326"/>
      <c r="P898" s="326"/>
      <c r="Q898" s="326"/>
      <c r="R898" s="326"/>
      <c r="S898" s="326"/>
      <c r="T898" s="326"/>
      <c r="U898" s="326"/>
      <c r="V898" s="326"/>
      <c r="W898" s="326"/>
      <c r="X898" s="326"/>
    </row>
    <row r="899" spans="12:24" ht="15.75" customHeight="1">
      <c r="L899" s="326"/>
      <c r="M899" s="326"/>
      <c r="N899" s="326"/>
      <c r="O899" s="326"/>
      <c r="P899" s="326"/>
      <c r="Q899" s="326"/>
      <c r="R899" s="326"/>
      <c r="S899" s="326"/>
      <c r="T899" s="326"/>
      <c r="U899" s="326"/>
      <c r="V899" s="326"/>
      <c r="W899" s="326"/>
      <c r="X899" s="326"/>
    </row>
    <row r="900" spans="12:24" ht="15.75" customHeight="1">
      <c r="L900" s="326"/>
      <c r="M900" s="326"/>
      <c r="N900" s="326"/>
      <c r="O900" s="326"/>
      <c r="P900" s="326"/>
      <c r="Q900" s="326"/>
      <c r="R900" s="326"/>
      <c r="S900" s="326"/>
      <c r="T900" s="326"/>
      <c r="U900" s="326"/>
      <c r="V900" s="326"/>
      <c r="W900" s="326"/>
      <c r="X900" s="326"/>
    </row>
    <row r="901" spans="12:24" ht="15.75" customHeight="1">
      <c r="L901" s="326"/>
      <c r="M901" s="326"/>
      <c r="N901" s="326"/>
      <c r="O901" s="326"/>
      <c r="P901" s="326"/>
      <c r="Q901" s="326"/>
      <c r="R901" s="326"/>
      <c r="S901" s="326"/>
      <c r="T901" s="326"/>
      <c r="U901" s="326"/>
      <c r="V901" s="326"/>
      <c r="W901" s="326"/>
      <c r="X901" s="326"/>
    </row>
    <row r="902" spans="12:24" ht="15.75" customHeight="1">
      <c r="L902" s="326"/>
      <c r="M902" s="326"/>
      <c r="N902" s="326"/>
      <c r="O902" s="326"/>
      <c r="P902" s="326"/>
      <c r="Q902" s="326"/>
      <c r="R902" s="326"/>
      <c r="S902" s="326"/>
      <c r="T902" s="326"/>
      <c r="U902" s="326"/>
      <c r="V902" s="326"/>
      <c r="W902" s="326"/>
      <c r="X902" s="326"/>
    </row>
    <row r="903" spans="12:24" ht="15.75" customHeight="1">
      <c r="L903" s="326"/>
      <c r="M903" s="326"/>
      <c r="N903" s="326"/>
      <c r="O903" s="326"/>
      <c r="P903" s="326"/>
      <c r="Q903" s="326"/>
      <c r="R903" s="326"/>
      <c r="S903" s="326"/>
      <c r="T903" s="326"/>
      <c r="U903" s="326"/>
      <c r="V903" s="326"/>
      <c r="W903" s="326"/>
      <c r="X903" s="326"/>
    </row>
    <row r="904" spans="12:24" ht="15.75" customHeight="1">
      <c r="L904" s="326"/>
      <c r="M904" s="326"/>
      <c r="N904" s="326"/>
      <c r="O904" s="326"/>
      <c r="P904" s="326"/>
      <c r="Q904" s="326"/>
      <c r="R904" s="326"/>
      <c r="S904" s="326"/>
      <c r="T904" s="326"/>
      <c r="U904" s="326"/>
      <c r="V904" s="326"/>
      <c r="W904" s="326"/>
      <c r="X904" s="326"/>
    </row>
    <row r="905" spans="12:24" ht="15.75" customHeight="1">
      <c r="L905" s="326"/>
      <c r="M905" s="326"/>
      <c r="N905" s="326"/>
      <c r="O905" s="326"/>
      <c r="P905" s="326"/>
      <c r="Q905" s="326"/>
      <c r="R905" s="326"/>
      <c r="S905" s="326"/>
      <c r="T905" s="326"/>
      <c r="U905" s="326"/>
      <c r="V905" s="326"/>
      <c r="W905" s="326"/>
      <c r="X905" s="326"/>
    </row>
    <row r="906" spans="12:24" ht="15.75" customHeight="1">
      <c r="L906" s="326"/>
      <c r="M906" s="326"/>
      <c r="N906" s="326"/>
      <c r="O906" s="326"/>
      <c r="P906" s="326"/>
      <c r="Q906" s="326"/>
      <c r="R906" s="326"/>
      <c r="S906" s="326"/>
      <c r="T906" s="326"/>
      <c r="U906" s="326"/>
      <c r="V906" s="326"/>
      <c r="W906" s="326"/>
      <c r="X906" s="326"/>
    </row>
    <row r="907" spans="12:24" ht="15.75" customHeight="1">
      <c r="L907" s="326"/>
      <c r="M907" s="326"/>
      <c r="N907" s="326"/>
      <c r="O907" s="326"/>
      <c r="P907" s="326"/>
      <c r="Q907" s="326"/>
      <c r="R907" s="326"/>
      <c r="S907" s="326"/>
      <c r="T907" s="326"/>
      <c r="U907" s="326"/>
      <c r="V907" s="326"/>
      <c r="W907" s="326"/>
      <c r="X907" s="326"/>
    </row>
    <row r="908" spans="12:24" ht="15.75" customHeight="1">
      <c r="L908" s="326"/>
      <c r="M908" s="326"/>
      <c r="N908" s="326"/>
      <c r="O908" s="326"/>
      <c r="P908" s="326"/>
      <c r="Q908" s="326"/>
      <c r="R908" s="326"/>
      <c r="S908" s="326"/>
      <c r="T908" s="326"/>
      <c r="U908" s="326"/>
      <c r="V908" s="326"/>
      <c r="W908" s="326"/>
      <c r="X908" s="326"/>
    </row>
    <row r="909" spans="12:24" ht="15.75" customHeight="1">
      <c r="L909" s="326"/>
      <c r="M909" s="326"/>
      <c r="N909" s="326"/>
      <c r="O909" s="326"/>
      <c r="P909" s="326"/>
      <c r="Q909" s="326"/>
      <c r="R909" s="326"/>
      <c r="S909" s="326"/>
      <c r="T909" s="326"/>
      <c r="U909" s="326"/>
      <c r="V909" s="326"/>
      <c r="W909" s="326"/>
      <c r="X909" s="326"/>
    </row>
    <row r="910" spans="12:24" ht="15.75" customHeight="1">
      <c r="L910" s="326"/>
      <c r="M910" s="326"/>
      <c r="N910" s="326"/>
      <c r="O910" s="326"/>
      <c r="P910" s="326"/>
      <c r="Q910" s="326"/>
      <c r="R910" s="326"/>
      <c r="S910" s="326"/>
      <c r="T910" s="326"/>
      <c r="U910" s="326"/>
      <c r="V910" s="326"/>
      <c r="W910" s="326"/>
      <c r="X910" s="326"/>
    </row>
    <row r="911" spans="12:24" ht="15.75" customHeight="1">
      <c r="L911" s="326"/>
      <c r="M911" s="326"/>
      <c r="N911" s="326"/>
      <c r="O911" s="326"/>
      <c r="P911" s="326"/>
      <c r="Q911" s="326"/>
      <c r="R911" s="326"/>
      <c r="S911" s="326"/>
      <c r="T911" s="326"/>
      <c r="U911" s="326"/>
      <c r="V911" s="326"/>
      <c r="W911" s="326"/>
      <c r="X911" s="326"/>
    </row>
    <row r="912" spans="12:24" ht="15.75" customHeight="1">
      <c r="L912" s="326"/>
      <c r="M912" s="326"/>
      <c r="N912" s="326"/>
      <c r="O912" s="326"/>
      <c r="P912" s="326"/>
      <c r="Q912" s="326"/>
      <c r="R912" s="326"/>
      <c r="S912" s="326"/>
      <c r="T912" s="326"/>
      <c r="U912" s="326"/>
      <c r="V912" s="326"/>
      <c r="W912" s="326"/>
      <c r="X912" s="326"/>
    </row>
    <row r="913" spans="12:24" ht="15.75" customHeight="1">
      <c r="L913" s="326"/>
      <c r="M913" s="326"/>
      <c r="N913" s="326"/>
      <c r="O913" s="326"/>
      <c r="P913" s="326"/>
      <c r="Q913" s="326"/>
      <c r="R913" s="326"/>
      <c r="S913" s="326"/>
      <c r="T913" s="326"/>
      <c r="U913" s="326"/>
      <c r="V913" s="326"/>
      <c r="W913" s="326"/>
      <c r="X913" s="326"/>
    </row>
    <row r="914" spans="12:24" ht="15.75" customHeight="1">
      <c r="L914" s="326"/>
      <c r="M914" s="326"/>
      <c r="N914" s="326"/>
      <c r="O914" s="326"/>
      <c r="P914" s="326"/>
      <c r="Q914" s="326"/>
      <c r="R914" s="326"/>
      <c r="S914" s="326"/>
      <c r="T914" s="326"/>
      <c r="U914" s="326"/>
      <c r="V914" s="326"/>
      <c r="W914" s="326"/>
      <c r="X914" s="326"/>
    </row>
    <row r="915" spans="12:24" ht="15.75" customHeight="1">
      <c r="L915" s="326"/>
      <c r="M915" s="326"/>
      <c r="N915" s="326"/>
      <c r="O915" s="326"/>
      <c r="P915" s="326"/>
      <c r="Q915" s="326"/>
      <c r="R915" s="326"/>
      <c r="S915" s="326"/>
      <c r="T915" s="326"/>
      <c r="U915" s="326"/>
      <c r="V915" s="326"/>
      <c r="W915" s="326"/>
      <c r="X915" s="326"/>
    </row>
    <row r="916" spans="12:24" ht="15.75" customHeight="1">
      <c r="L916" s="326"/>
      <c r="M916" s="326"/>
      <c r="N916" s="326"/>
      <c r="O916" s="326"/>
      <c r="P916" s="326"/>
      <c r="Q916" s="326"/>
      <c r="R916" s="326"/>
      <c r="S916" s="326"/>
      <c r="T916" s="326"/>
      <c r="U916" s="326"/>
      <c r="V916" s="326"/>
      <c r="W916" s="326"/>
      <c r="X916" s="326"/>
    </row>
    <row r="917" spans="12:24" ht="15.75" customHeight="1">
      <c r="L917" s="326"/>
      <c r="M917" s="326"/>
      <c r="N917" s="326"/>
      <c r="O917" s="326"/>
      <c r="P917" s="326"/>
      <c r="Q917" s="326"/>
      <c r="R917" s="326"/>
      <c r="S917" s="326"/>
      <c r="T917" s="326"/>
      <c r="U917" s="326"/>
      <c r="V917" s="326"/>
      <c r="W917" s="326"/>
      <c r="X917" s="326"/>
    </row>
    <row r="918" spans="12:24" ht="15.75" customHeight="1">
      <c r="L918" s="326"/>
      <c r="M918" s="326"/>
      <c r="N918" s="326"/>
      <c r="O918" s="326"/>
      <c r="P918" s="326"/>
      <c r="Q918" s="326"/>
      <c r="R918" s="326"/>
      <c r="S918" s="326"/>
      <c r="T918" s="326"/>
      <c r="U918" s="326"/>
      <c r="V918" s="326"/>
      <c r="W918" s="326"/>
      <c r="X918" s="326"/>
    </row>
    <row r="919" spans="12:24" ht="15.75" customHeight="1">
      <c r="L919" s="326"/>
      <c r="M919" s="326"/>
      <c r="N919" s="326"/>
      <c r="O919" s="326"/>
      <c r="P919" s="326"/>
      <c r="Q919" s="326"/>
      <c r="R919" s="326"/>
      <c r="S919" s="326"/>
      <c r="T919" s="326"/>
      <c r="U919" s="326"/>
      <c r="V919" s="326"/>
      <c r="W919" s="326"/>
      <c r="X919" s="326"/>
    </row>
    <row r="920" spans="12:24" ht="15.75" customHeight="1">
      <c r="L920" s="326"/>
      <c r="M920" s="326"/>
      <c r="N920" s="326"/>
      <c r="O920" s="326"/>
      <c r="P920" s="326"/>
      <c r="Q920" s="326"/>
      <c r="R920" s="326"/>
      <c r="S920" s="326"/>
      <c r="T920" s="326"/>
      <c r="U920" s="326"/>
      <c r="V920" s="326"/>
      <c r="W920" s="326"/>
      <c r="X920" s="326"/>
    </row>
    <row r="921" spans="12:24" ht="15.75" customHeight="1">
      <c r="L921" s="326"/>
      <c r="M921" s="326"/>
      <c r="N921" s="326"/>
      <c r="O921" s="326"/>
      <c r="P921" s="326"/>
      <c r="Q921" s="326"/>
      <c r="R921" s="326"/>
      <c r="S921" s="326"/>
      <c r="T921" s="326"/>
      <c r="U921" s="326"/>
      <c r="V921" s="326"/>
      <c r="W921" s="326"/>
      <c r="X921" s="326"/>
    </row>
    <row r="922" spans="12:24" ht="15.75" customHeight="1">
      <c r="L922" s="326"/>
      <c r="M922" s="326"/>
      <c r="N922" s="326"/>
      <c r="O922" s="326"/>
      <c r="P922" s="326"/>
      <c r="Q922" s="326"/>
      <c r="R922" s="326"/>
      <c r="S922" s="326"/>
      <c r="T922" s="326"/>
      <c r="U922" s="326"/>
      <c r="V922" s="326"/>
      <c r="W922" s="326"/>
      <c r="X922" s="326"/>
    </row>
    <row r="923" spans="12:24" ht="15.75" customHeight="1">
      <c r="L923" s="326"/>
      <c r="M923" s="326"/>
      <c r="N923" s="326"/>
      <c r="O923" s="326"/>
      <c r="P923" s="326"/>
      <c r="Q923" s="326"/>
      <c r="R923" s="326"/>
      <c r="S923" s="326"/>
      <c r="T923" s="326"/>
      <c r="U923" s="326"/>
      <c r="V923" s="326"/>
      <c r="W923" s="326"/>
      <c r="X923" s="326"/>
    </row>
    <row r="924" spans="12:24" ht="15.75" customHeight="1">
      <c r="L924" s="326"/>
      <c r="M924" s="326"/>
      <c r="N924" s="326"/>
      <c r="O924" s="326"/>
      <c r="P924" s="326"/>
      <c r="Q924" s="326"/>
      <c r="R924" s="326"/>
      <c r="S924" s="326"/>
      <c r="T924" s="326"/>
      <c r="U924" s="326"/>
      <c r="V924" s="326"/>
      <c r="W924" s="326"/>
      <c r="X924" s="326"/>
    </row>
    <row r="925" spans="12:24" ht="15.75" customHeight="1">
      <c r="L925" s="326"/>
      <c r="M925" s="326"/>
      <c r="N925" s="326"/>
      <c r="O925" s="326"/>
      <c r="P925" s="326"/>
      <c r="Q925" s="326"/>
      <c r="R925" s="326"/>
      <c r="S925" s="326"/>
      <c r="T925" s="326"/>
      <c r="U925" s="326"/>
      <c r="V925" s="326"/>
      <c r="W925" s="326"/>
      <c r="X925" s="326"/>
    </row>
    <row r="926" spans="12:24" ht="15.75" customHeight="1">
      <c r="L926" s="326"/>
      <c r="M926" s="326"/>
      <c r="N926" s="326"/>
      <c r="O926" s="326"/>
      <c r="P926" s="326"/>
      <c r="Q926" s="326"/>
      <c r="R926" s="326"/>
      <c r="S926" s="326"/>
      <c r="T926" s="326"/>
      <c r="U926" s="326"/>
      <c r="V926" s="326"/>
      <c r="W926" s="326"/>
      <c r="X926" s="326"/>
    </row>
    <row r="927" spans="12:24" ht="15.75" customHeight="1">
      <c r="L927" s="326"/>
      <c r="M927" s="326"/>
      <c r="N927" s="326"/>
      <c r="O927" s="326"/>
      <c r="P927" s="326"/>
      <c r="Q927" s="326"/>
      <c r="R927" s="326"/>
      <c r="S927" s="326"/>
      <c r="T927" s="326"/>
      <c r="U927" s="326"/>
      <c r="V927" s="326"/>
      <c r="W927" s="326"/>
      <c r="X927" s="326"/>
    </row>
    <row r="928" spans="12:24" ht="15.75" customHeight="1">
      <c r="L928" s="326"/>
      <c r="M928" s="326"/>
      <c r="N928" s="326"/>
      <c r="O928" s="326"/>
      <c r="P928" s="326"/>
      <c r="Q928" s="326"/>
      <c r="R928" s="326"/>
      <c r="S928" s="326"/>
      <c r="T928" s="326"/>
      <c r="U928" s="326"/>
      <c r="V928" s="326"/>
      <c r="W928" s="326"/>
      <c r="X928" s="326"/>
    </row>
    <row r="929" spans="12:24" ht="15.75" customHeight="1">
      <c r="L929" s="326"/>
      <c r="M929" s="326"/>
      <c r="N929" s="326"/>
      <c r="O929" s="326"/>
      <c r="P929" s="326"/>
      <c r="Q929" s="326"/>
      <c r="R929" s="326"/>
      <c r="S929" s="326"/>
      <c r="T929" s="326"/>
      <c r="U929" s="326"/>
      <c r="V929" s="326"/>
      <c r="W929" s="326"/>
      <c r="X929" s="326"/>
    </row>
    <row r="930" spans="12:24" ht="15.75" customHeight="1">
      <c r="L930" s="326"/>
      <c r="M930" s="326"/>
      <c r="N930" s="326"/>
      <c r="O930" s="326"/>
      <c r="P930" s="326"/>
      <c r="Q930" s="326"/>
      <c r="R930" s="326"/>
      <c r="S930" s="326"/>
      <c r="T930" s="326"/>
      <c r="U930" s="326"/>
      <c r="V930" s="326"/>
      <c r="W930" s="326"/>
      <c r="X930" s="326"/>
    </row>
    <row r="931" spans="12:24" ht="15.75" customHeight="1">
      <c r="L931" s="326"/>
      <c r="M931" s="326"/>
      <c r="N931" s="326"/>
      <c r="O931" s="326"/>
      <c r="P931" s="326"/>
      <c r="Q931" s="326"/>
      <c r="R931" s="326"/>
      <c r="S931" s="326"/>
      <c r="T931" s="326"/>
      <c r="U931" s="326"/>
      <c r="V931" s="326"/>
      <c r="W931" s="326"/>
      <c r="X931" s="326"/>
    </row>
    <row r="932" spans="12:24" ht="15.75" customHeight="1">
      <c r="L932" s="326"/>
      <c r="M932" s="326"/>
      <c r="N932" s="326"/>
      <c r="O932" s="326"/>
      <c r="P932" s="326"/>
      <c r="Q932" s="326"/>
      <c r="R932" s="326"/>
      <c r="S932" s="326"/>
      <c r="T932" s="326"/>
      <c r="U932" s="326"/>
      <c r="V932" s="326"/>
      <c r="W932" s="326"/>
      <c r="X932" s="326"/>
    </row>
    <row r="933" spans="12:24" ht="15.75" customHeight="1">
      <c r="L933" s="326"/>
      <c r="M933" s="326"/>
      <c r="N933" s="326"/>
      <c r="O933" s="326"/>
      <c r="P933" s="326"/>
      <c r="Q933" s="326"/>
      <c r="R933" s="326"/>
      <c r="S933" s="326"/>
      <c r="T933" s="326"/>
      <c r="U933" s="326"/>
      <c r="V933" s="326"/>
      <c r="W933" s="326"/>
      <c r="X933" s="326"/>
    </row>
    <row r="934" spans="12:24" ht="15.75" customHeight="1">
      <c r="L934" s="326"/>
      <c r="M934" s="326"/>
      <c r="N934" s="326"/>
      <c r="O934" s="326"/>
      <c r="P934" s="326"/>
      <c r="Q934" s="326"/>
      <c r="R934" s="326"/>
      <c r="S934" s="326"/>
      <c r="T934" s="326"/>
      <c r="U934" s="326"/>
      <c r="V934" s="326"/>
      <c r="W934" s="326"/>
      <c r="X934" s="326"/>
    </row>
    <row r="935" spans="12:24" ht="15.75" customHeight="1">
      <c r="L935" s="326"/>
      <c r="M935" s="326"/>
      <c r="N935" s="326"/>
      <c r="O935" s="326"/>
      <c r="P935" s="326"/>
      <c r="Q935" s="326"/>
      <c r="R935" s="326"/>
      <c r="S935" s="326"/>
      <c r="T935" s="326"/>
      <c r="U935" s="326"/>
      <c r="V935" s="326"/>
      <c r="W935" s="326"/>
      <c r="X935" s="326"/>
    </row>
    <row r="936" spans="12:24" ht="15.75" customHeight="1">
      <c r="L936" s="326"/>
      <c r="M936" s="326"/>
      <c r="N936" s="326"/>
      <c r="O936" s="326"/>
      <c r="P936" s="326"/>
      <c r="Q936" s="326"/>
      <c r="R936" s="326"/>
      <c r="S936" s="326"/>
      <c r="T936" s="326"/>
      <c r="U936" s="326"/>
      <c r="V936" s="326"/>
      <c r="W936" s="326"/>
      <c r="X936" s="326"/>
    </row>
    <row r="937" spans="12:24" ht="15.75" customHeight="1">
      <c r="L937" s="326"/>
      <c r="M937" s="326"/>
      <c r="N937" s="326"/>
      <c r="O937" s="326"/>
      <c r="P937" s="326"/>
      <c r="Q937" s="326"/>
      <c r="R937" s="326"/>
      <c r="S937" s="326"/>
      <c r="T937" s="326"/>
      <c r="U937" s="326"/>
      <c r="V937" s="326"/>
      <c r="W937" s="326"/>
      <c r="X937" s="326"/>
    </row>
    <row r="938" spans="12:24" ht="15.75" customHeight="1">
      <c r="L938" s="326"/>
      <c r="M938" s="326"/>
      <c r="N938" s="326"/>
      <c r="O938" s="326"/>
      <c r="P938" s="326"/>
      <c r="Q938" s="326"/>
      <c r="R938" s="326"/>
      <c r="S938" s="326"/>
      <c r="T938" s="326"/>
      <c r="U938" s="326"/>
      <c r="V938" s="326"/>
      <c r="W938" s="326"/>
      <c r="X938" s="326"/>
    </row>
    <row r="939" spans="12:24" ht="15.75" customHeight="1">
      <c r="L939" s="326"/>
      <c r="M939" s="326"/>
      <c r="N939" s="326"/>
      <c r="O939" s="326"/>
      <c r="P939" s="326"/>
      <c r="Q939" s="326"/>
      <c r="R939" s="326"/>
      <c r="S939" s="326"/>
      <c r="T939" s="326"/>
      <c r="U939" s="326"/>
      <c r="V939" s="326"/>
      <c r="W939" s="326"/>
      <c r="X939" s="326"/>
    </row>
    <row r="940" spans="12:24" ht="15.75" customHeight="1">
      <c r="L940" s="326"/>
      <c r="M940" s="326"/>
      <c r="N940" s="326"/>
      <c r="O940" s="326"/>
      <c r="P940" s="326"/>
      <c r="Q940" s="326"/>
      <c r="R940" s="326"/>
      <c r="S940" s="326"/>
      <c r="T940" s="326"/>
      <c r="U940" s="326"/>
      <c r="V940" s="326"/>
      <c r="W940" s="326"/>
      <c r="X940" s="326"/>
    </row>
    <row r="941" spans="12:24" ht="15.75" customHeight="1">
      <c r="L941" s="326"/>
      <c r="M941" s="326"/>
      <c r="N941" s="326"/>
      <c r="O941" s="326"/>
      <c r="P941" s="326"/>
      <c r="Q941" s="326"/>
      <c r="R941" s="326"/>
      <c r="S941" s="326"/>
      <c r="T941" s="326"/>
      <c r="U941" s="326"/>
      <c r="V941" s="326"/>
      <c r="W941" s="326"/>
      <c r="X941" s="326"/>
    </row>
    <row r="942" spans="12:24" ht="15.75" customHeight="1">
      <c r="L942" s="326"/>
      <c r="M942" s="326"/>
      <c r="N942" s="326"/>
      <c r="O942" s="326"/>
      <c r="P942" s="326"/>
      <c r="Q942" s="326"/>
      <c r="R942" s="326"/>
      <c r="S942" s="326"/>
      <c r="T942" s="326"/>
      <c r="U942" s="326"/>
      <c r="V942" s="326"/>
      <c r="W942" s="326"/>
      <c r="X942" s="326"/>
    </row>
    <row r="943" spans="12:24" ht="15.75" customHeight="1">
      <c r="L943" s="326"/>
      <c r="M943" s="326"/>
      <c r="N943" s="326"/>
      <c r="O943" s="326"/>
      <c r="P943" s="326"/>
      <c r="Q943" s="326"/>
      <c r="R943" s="326"/>
      <c r="S943" s="326"/>
      <c r="T943" s="326"/>
      <c r="U943" s="326"/>
      <c r="V943" s="326"/>
      <c r="W943" s="326"/>
      <c r="X943" s="326"/>
    </row>
    <row r="944" spans="12:24" ht="15.75" customHeight="1">
      <c r="L944" s="326"/>
      <c r="M944" s="326"/>
      <c r="N944" s="326"/>
      <c r="O944" s="326"/>
      <c r="P944" s="326"/>
      <c r="Q944" s="326"/>
      <c r="R944" s="326"/>
      <c r="S944" s="326"/>
      <c r="T944" s="326"/>
      <c r="U944" s="326"/>
      <c r="V944" s="326"/>
      <c r="W944" s="326"/>
      <c r="X944" s="326"/>
    </row>
    <row r="945" spans="12:24" ht="15.75" customHeight="1">
      <c r="L945" s="326"/>
      <c r="M945" s="326"/>
      <c r="N945" s="326"/>
      <c r="O945" s="326"/>
      <c r="P945" s="326"/>
      <c r="Q945" s="326"/>
      <c r="R945" s="326"/>
      <c r="S945" s="326"/>
      <c r="T945" s="326"/>
      <c r="U945" s="326"/>
      <c r="V945" s="326"/>
      <c r="W945" s="326"/>
      <c r="X945" s="326"/>
    </row>
    <row r="946" spans="12:24" ht="15.75" customHeight="1">
      <c r="L946" s="326"/>
      <c r="M946" s="326"/>
      <c r="N946" s="326"/>
      <c r="O946" s="326"/>
      <c r="P946" s="326"/>
      <c r="Q946" s="326"/>
      <c r="R946" s="326"/>
      <c r="S946" s="326"/>
      <c r="T946" s="326"/>
      <c r="U946" s="326"/>
      <c r="V946" s="326"/>
      <c r="W946" s="326"/>
      <c r="X946" s="326"/>
    </row>
    <row r="947" spans="12:24" ht="15.75" customHeight="1">
      <c r="L947" s="326"/>
      <c r="M947" s="326"/>
      <c r="N947" s="326"/>
      <c r="O947" s="326"/>
      <c r="P947" s="326"/>
      <c r="Q947" s="326"/>
      <c r="R947" s="326"/>
      <c r="S947" s="326"/>
      <c r="T947" s="326"/>
      <c r="U947" s="326"/>
      <c r="V947" s="326"/>
      <c r="W947" s="326"/>
      <c r="X947" s="326"/>
    </row>
    <row r="948" spans="12:24" ht="15.75" customHeight="1">
      <c r="L948" s="326"/>
      <c r="M948" s="326"/>
      <c r="N948" s="326"/>
      <c r="O948" s="326"/>
      <c r="P948" s="326"/>
      <c r="Q948" s="326"/>
      <c r="R948" s="326"/>
      <c r="S948" s="326"/>
      <c r="T948" s="326"/>
      <c r="U948" s="326"/>
      <c r="V948" s="326"/>
      <c r="W948" s="326"/>
      <c r="X948" s="326"/>
    </row>
    <row r="949" spans="12:24" ht="15.75" customHeight="1">
      <c r="L949" s="326"/>
      <c r="M949" s="326"/>
      <c r="N949" s="326"/>
      <c r="O949" s="326"/>
      <c r="P949" s="326"/>
      <c r="Q949" s="326"/>
      <c r="R949" s="326"/>
      <c r="S949" s="326"/>
      <c r="T949" s="326"/>
      <c r="U949" s="326"/>
      <c r="V949" s="326"/>
      <c r="W949" s="326"/>
      <c r="X949" s="326"/>
    </row>
    <row r="950" spans="12:24" ht="15.75" customHeight="1">
      <c r="L950" s="326"/>
      <c r="M950" s="326"/>
      <c r="N950" s="326"/>
      <c r="O950" s="326"/>
      <c r="P950" s="326"/>
      <c r="Q950" s="326"/>
      <c r="R950" s="326"/>
      <c r="S950" s="326"/>
      <c r="T950" s="326"/>
      <c r="U950" s="326"/>
      <c r="V950" s="326"/>
      <c r="W950" s="326"/>
      <c r="X950" s="326"/>
    </row>
    <row r="951" spans="12:24" ht="15.75" customHeight="1">
      <c r="L951" s="326"/>
      <c r="M951" s="326"/>
      <c r="N951" s="326"/>
      <c r="O951" s="326"/>
      <c r="P951" s="326"/>
      <c r="Q951" s="326"/>
      <c r="R951" s="326"/>
      <c r="S951" s="326"/>
      <c r="T951" s="326"/>
      <c r="U951" s="326"/>
      <c r="V951" s="326"/>
      <c r="W951" s="326"/>
      <c r="X951" s="326"/>
    </row>
    <row r="952" spans="12:24" ht="15.75" customHeight="1">
      <c r="L952" s="326"/>
      <c r="M952" s="326"/>
      <c r="N952" s="326"/>
      <c r="O952" s="326"/>
      <c r="P952" s="326"/>
      <c r="Q952" s="326"/>
      <c r="R952" s="326"/>
      <c r="S952" s="326"/>
      <c r="T952" s="326"/>
      <c r="U952" s="326"/>
      <c r="V952" s="326"/>
      <c r="W952" s="326"/>
      <c r="X952" s="326"/>
    </row>
    <row r="953" spans="12:24" ht="15.75" customHeight="1">
      <c r="L953" s="326"/>
      <c r="M953" s="326"/>
      <c r="N953" s="326"/>
      <c r="O953" s="326"/>
      <c r="P953" s="326"/>
      <c r="Q953" s="326"/>
      <c r="R953" s="326"/>
      <c r="S953" s="326"/>
      <c r="T953" s="326"/>
      <c r="U953" s="326"/>
      <c r="V953" s="326"/>
      <c r="W953" s="326"/>
      <c r="X953" s="326"/>
    </row>
    <row r="954" spans="12:24" ht="15.75" customHeight="1">
      <c r="L954" s="326"/>
      <c r="M954" s="326"/>
      <c r="N954" s="326"/>
      <c r="O954" s="326"/>
      <c r="P954" s="326"/>
      <c r="Q954" s="326"/>
      <c r="R954" s="326"/>
      <c r="S954" s="326"/>
      <c r="T954" s="326"/>
      <c r="U954" s="326"/>
      <c r="V954" s="326"/>
      <c r="W954" s="326"/>
      <c r="X954" s="326"/>
    </row>
    <row r="955" spans="12:24" ht="15.75" customHeight="1">
      <c r="L955" s="326"/>
      <c r="M955" s="326"/>
      <c r="N955" s="326"/>
      <c r="O955" s="326"/>
      <c r="P955" s="326"/>
      <c r="Q955" s="326"/>
      <c r="R955" s="326"/>
      <c r="S955" s="326"/>
      <c r="T955" s="326"/>
      <c r="U955" s="326"/>
      <c r="V955" s="326"/>
      <c r="W955" s="326"/>
      <c r="X955" s="326"/>
    </row>
    <row r="956" spans="12:24" ht="15.75" customHeight="1">
      <c r="L956" s="326"/>
      <c r="M956" s="326"/>
      <c r="N956" s="326"/>
      <c r="O956" s="326"/>
      <c r="P956" s="326"/>
      <c r="Q956" s="326"/>
      <c r="R956" s="326"/>
      <c r="S956" s="326"/>
      <c r="T956" s="326"/>
      <c r="U956" s="326"/>
      <c r="V956" s="326"/>
      <c r="W956" s="326"/>
      <c r="X956" s="326"/>
    </row>
    <row r="957" spans="12:24" ht="15.75" customHeight="1">
      <c r="L957" s="326"/>
      <c r="M957" s="326"/>
      <c r="N957" s="326"/>
      <c r="O957" s="326"/>
      <c r="P957" s="326"/>
      <c r="Q957" s="326"/>
      <c r="R957" s="326"/>
      <c r="S957" s="326"/>
      <c r="T957" s="326"/>
      <c r="U957" s="326"/>
      <c r="V957" s="326"/>
      <c r="W957" s="326"/>
      <c r="X957" s="326"/>
    </row>
    <row r="958" spans="12:24" ht="15.75" customHeight="1">
      <c r="L958" s="326"/>
      <c r="M958" s="326"/>
      <c r="N958" s="326"/>
      <c r="O958" s="326"/>
      <c r="P958" s="326"/>
      <c r="Q958" s="326"/>
      <c r="R958" s="326"/>
      <c r="S958" s="326"/>
      <c r="T958" s="326"/>
      <c r="U958" s="326"/>
      <c r="V958" s="326"/>
      <c r="W958" s="326"/>
      <c r="X958" s="326"/>
    </row>
    <row r="959" spans="12:24" ht="15.75" customHeight="1">
      <c r="L959" s="326"/>
      <c r="M959" s="326"/>
      <c r="N959" s="326"/>
      <c r="O959" s="326"/>
      <c r="P959" s="326"/>
      <c r="Q959" s="326"/>
      <c r="R959" s="326"/>
      <c r="S959" s="326"/>
      <c r="T959" s="326"/>
      <c r="U959" s="326"/>
      <c r="V959" s="326"/>
      <c r="W959" s="326"/>
      <c r="X959" s="326"/>
    </row>
    <row r="960" spans="12:24" ht="15.75" customHeight="1">
      <c r="L960" s="326"/>
      <c r="M960" s="326"/>
      <c r="N960" s="326"/>
      <c r="O960" s="326"/>
      <c r="P960" s="326"/>
      <c r="Q960" s="326"/>
      <c r="R960" s="326"/>
      <c r="S960" s="326"/>
      <c r="T960" s="326"/>
      <c r="U960" s="326"/>
      <c r="V960" s="326"/>
      <c r="W960" s="326"/>
      <c r="X960" s="326"/>
    </row>
    <row r="961" spans="12:24" ht="15.75" customHeight="1">
      <c r="L961" s="326"/>
      <c r="M961" s="326"/>
      <c r="N961" s="326"/>
      <c r="O961" s="326"/>
      <c r="P961" s="326"/>
      <c r="Q961" s="326"/>
      <c r="R961" s="326"/>
      <c r="S961" s="326"/>
      <c r="T961" s="326"/>
      <c r="U961" s="326"/>
      <c r="V961" s="326"/>
      <c r="W961" s="326"/>
      <c r="X961" s="326"/>
    </row>
    <row r="962" spans="12:24" ht="15.75" customHeight="1">
      <c r="L962" s="326"/>
      <c r="M962" s="326"/>
      <c r="N962" s="326"/>
      <c r="O962" s="326"/>
      <c r="P962" s="326"/>
      <c r="Q962" s="326"/>
      <c r="R962" s="326"/>
      <c r="S962" s="326"/>
      <c r="T962" s="326"/>
      <c r="U962" s="326"/>
      <c r="V962" s="326"/>
      <c r="W962" s="326"/>
      <c r="X962" s="326"/>
    </row>
    <row r="963" spans="12:24" ht="15.75" customHeight="1">
      <c r="L963" s="326"/>
      <c r="M963" s="326"/>
      <c r="N963" s="326"/>
      <c r="O963" s="326"/>
      <c r="P963" s="326"/>
      <c r="Q963" s="326"/>
      <c r="R963" s="326"/>
      <c r="S963" s="326"/>
      <c r="T963" s="326"/>
      <c r="U963" s="326"/>
      <c r="V963" s="326"/>
      <c r="W963" s="326"/>
      <c r="X963" s="326"/>
    </row>
    <row r="964" spans="12:24" ht="15.75" customHeight="1">
      <c r="L964" s="326"/>
      <c r="M964" s="326"/>
      <c r="N964" s="326"/>
      <c r="O964" s="326"/>
      <c r="P964" s="326"/>
      <c r="Q964" s="326"/>
      <c r="R964" s="326"/>
      <c r="S964" s="326"/>
      <c r="T964" s="326"/>
      <c r="U964" s="326"/>
      <c r="V964" s="326"/>
      <c r="W964" s="326"/>
      <c r="X964" s="326"/>
    </row>
    <row r="965" spans="12:24" ht="15.75" customHeight="1">
      <c r="L965" s="326"/>
      <c r="M965" s="326"/>
      <c r="N965" s="326"/>
      <c r="O965" s="326"/>
      <c r="P965" s="326"/>
      <c r="Q965" s="326"/>
      <c r="R965" s="326"/>
      <c r="S965" s="326"/>
      <c r="T965" s="326"/>
      <c r="U965" s="326"/>
      <c r="V965" s="326"/>
      <c r="W965" s="326"/>
      <c r="X965" s="326"/>
    </row>
    <row r="966" spans="12:24" ht="15.75" customHeight="1">
      <c r="L966" s="326"/>
      <c r="M966" s="326"/>
      <c r="N966" s="326"/>
      <c r="O966" s="326"/>
      <c r="P966" s="326"/>
      <c r="Q966" s="326"/>
      <c r="R966" s="326"/>
      <c r="S966" s="326"/>
      <c r="T966" s="326"/>
      <c r="U966" s="326"/>
      <c r="V966" s="326"/>
      <c r="W966" s="326"/>
      <c r="X966" s="326"/>
    </row>
    <row r="967" spans="12:24" ht="15.75" customHeight="1">
      <c r="L967" s="326"/>
      <c r="M967" s="326"/>
      <c r="N967" s="326"/>
      <c r="O967" s="326"/>
      <c r="P967" s="326"/>
      <c r="Q967" s="326"/>
      <c r="R967" s="326"/>
      <c r="S967" s="326"/>
      <c r="T967" s="326"/>
      <c r="U967" s="326"/>
      <c r="V967" s="326"/>
      <c r="W967" s="326"/>
      <c r="X967" s="326"/>
    </row>
    <row r="968" spans="12:24" ht="15.75" customHeight="1">
      <c r="L968" s="326"/>
      <c r="M968" s="326"/>
      <c r="N968" s="326"/>
      <c r="O968" s="326"/>
      <c r="P968" s="326"/>
      <c r="Q968" s="326"/>
      <c r="R968" s="326"/>
      <c r="S968" s="326"/>
      <c r="T968" s="326"/>
      <c r="U968" s="326"/>
      <c r="V968" s="326"/>
      <c r="W968" s="326"/>
      <c r="X968" s="326"/>
    </row>
    <row r="969" spans="12:24" ht="15.75" customHeight="1">
      <c r="L969" s="326"/>
      <c r="M969" s="326"/>
      <c r="N969" s="326"/>
      <c r="O969" s="326"/>
      <c r="P969" s="326"/>
      <c r="Q969" s="326"/>
      <c r="R969" s="326"/>
      <c r="S969" s="326"/>
      <c r="T969" s="326"/>
      <c r="U969" s="326"/>
      <c r="V969" s="326"/>
      <c r="W969" s="326"/>
      <c r="X969" s="326"/>
    </row>
    <row r="970" spans="12:24" ht="15.75" customHeight="1">
      <c r="L970" s="326"/>
      <c r="M970" s="326"/>
      <c r="N970" s="326"/>
      <c r="O970" s="326"/>
      <c r="P970" s="326"/>
      <c r="Q970" s="326"/>
      <c r="R970" s="326"/>
      <c r="S970" s="326"/>
      <c r="T970" s="326"/>
      <c r="U970" s="326"/>
      <c r="V970" s="326"/>
      <c r="W970" s="326"/>
      <c r="X970" s="326"/>
    </row>
    <row r="971" spans="12:24" ht="15.75">
      <c r="L971" s="326"/>
      <c r="M971" s="326"/>
      <c r="N971" s="326"/>
      <c r="O971" s="326"/>
      <c r="P971" s="326"/>
      <c r="Q971" s="326"/>
      <c r="R971" s="326"/>
      <c r="S971" s="326"/>
      <c r="T971" s="326"/>
      <c r="U971" s="326"/>
      <c r="V971" s="326"/>
      <c r="W971" s="326"/>
      <c r="X971" s="326"/>
    </row>
    <row r="972" spans="12:24" ht="15.75">
      <c r="L972" s="326"/>
      <c r="M972" s="326"/>
      <c r="N972" s="326"/>
      <c r="O972" s="326"/>
      <c r="P972" s="326"/>
      <c r="Q972" s="326"/>
      <c r="R972" s="326"/>
      <c r="S972" s="326"/>
      <c r="T972" s="326"/>
      <c r="U972" s="326"/>
      <c r="V972" s="326"/>
      <c r="W972" s="326"/>
      <c r="X972" s="326"/>
    </row>
    <row r="973" spans="12:24" ht="15.75">
      <c r="L973" s="326"/>
      <c r="M973" s="326"/>
      <c r="N973" s="326"/>
      <c r="O973" s="326"/>
      <c r="P973" s="326"/>
      <c r="Q973" s="326"/>
      <c r="R973" s="326"/>
      <c r="S973" s="326"/>
      <c r="T973" s="326"/>
      <c r="U973" s="326"/>
      <c r="V973" s="326"/>
      <c r="W973" s="326"/>
      <c r="X973" s="326"/>
    </row>
    <row r="974" spans="12:24" ht="15.75">
      <c r="L974" s="326"/>
      <c r="M974" s="326"/>
      <c r="N974" s="326"/>
      <c r="O974" s="326"/>
      <c r="P974" s="326"/>
      <c r="Q974" s="326"/>
      <c r="R974" s="326"/>
      <c r="S974" s="326"/>
      <c r="T974" s="326"/>
      <c r="U974" s="326"/>
      <c r="V974" s="326"/>
      <c r="W974" s="326"/>
      <c r="X974" s="326"/>
    </row>
    <row r="975" spans="12:24" ht="15.75">
      <c r="L975" s="326"/>
      <c r="M975" s="326"/>
      <c r="N975" s="326"/>
      <c r="O975" s="326"/>
      <c r="P975" s="326"/>
      <c r="Q975" s="326"/>
      <c r="R975" s="326"/>
      <c r="S975" s="326"/>
      <c r="T975" s="326"/>
      <c r="U975" s="326"/>
      <c r="V975" s="326"/>
      <c r="W975" s="326"/>
      <c r="X975" s="326"/>
    </row>
    <row r="976" spans="12:24" ht="15.75">
      <c r="L976" s="326"/>
      <c r="M976" s="326"/>
      <c r="N976" s="326"/>
      <c r="O976" s="326"/>
      <c r="P976" s="326"/>
      <c r="Q976" s="326"/>
      <c r="R976" s="326"/>
      <c r="S976" s="326"/>
      <c r="T976" s="326"/>
      <c r="U976" s="326"/>
      <c r="V976" s="326"/>
      <c r="W976" s="326"/>
      <c r="X976" s="326"/>
    </row>
    <row r="977" spans="12:24" ht="15.75">
      <c r="L977" s="326"/>
      <c r="M977" s="326"/>
      <c r="N977" s="326"/>
      <c r="O977" s="326"/>
      <c r="P977" s="326"/>
      <c r="Q977" s="326"/>
      <c r="R977" s="326"/>
      <c r="S977" s="326"/>
      <c r="T977" s="326"/>
      <c r="U977" s="326"/>
      <c r="V977" s="326"/>
      <c r="W977" s="326"/>
      <c r="X977" s="326"/>
    </row>
    <row r="978" spans="12:24" ht="15.75">
      <c r="L978" s="326"/>
      <c r="M978" s="326"/>
      <c r="N978" s="326"/>
      <c r="O978" s="326"/>
      <c r="P978" s="326"/>
      <c r="Q978" s="326"/>
      <c r="R978" s="326"/>
      <c r="S978" s="326"/>
      <c r="T978" s="326"/>
      <c r="U978" s="326"/>
      <c r="V978" s="326"/>
      <c r="W978" s="326"/>
      <c r="X978" s="326"/>
    </row>
    <row r="979" spans="12:24" ht="15.75">
      <c r="L979" s="326"/>
      <c r="M979" s="326"/>
      <c r="N979" s="326"/>
      <c r="O979" s="326"/>
      <c r="P979" s="326"/>
      <c r="Q979" s="326"/>
      <c r="R979" s="326"/>
      <c r="S979" s="326"/>
      <c r="T979" s="326"/>
      <c r="U979" s="326"/>
      <c r="V979" s="326"/>
      <c r="W979" s="326"/>
      <c r="X979" s="326"/>
    </row>
    <row r="980" spans="12:24" ht="15.75">
      <c r="L980" s="326"/>
      <c r="M980" s="326"/>
      <c r="N980" s="326"/>
      <c r="O980" s="326"/>
      <c r="P980" s="326"/>
      <c r="Q980" s="326"/>
      <c r="R980" s="326"/>
      <c r="S980" s="326"/>
      <c r="T980" s="326"/>
      <c r="U980" s="326"/>
      <c r="V980" s="326"/>
      <c r="W980" s="326"/>
      <c r="X980" s="326"/>
    </row>
    <row r="981" spans="12:24" ht="15.75">
      <c r="L981" s="326"/>
      <c r="M981" s="326"/>
      <c r="N981" s="326"/>
      <c r="O981" s="326"/>
      <c r="P981" s="326"/>
      <c r="Q981" s="326"/>
      <c r="R981" s="326"/>
      <c r="S981" s="326"/>
      <c r="T981" s="326"/>
      <c r="U981" s="326"/>
      <c r="V981" s="326"/>
      <c r="W981" s="326"/>
      <c r="X981" s="326"/>
    </row>
    <row r="982" spans="12:24" ht="15.75">
      <c r="L982" s="326"/>
      <c r="M982" s="326"/>
      <c r="N982" s="326"/>
      <c r="O982" s="326"/>
      <c r="P982" s="326"/>
      <c r="Q982" s="326"/>
      <c r="R982" s="326"/>
      <c r="S982" s="326"/>
      <c r="T982" s="326"/>
      <c r="U982" s="326"/>
      <c r="V982" s="326"/>
      <c r="W982" s="326"/>
      <c r="X982" s="326"/>
    </row>
    <row r="983" spans="12:24" ht="15.75">
      <c r="L983" s="326"/>
      <c r="M983" s="326"/>
      <c r="N983" s="326"/>
      <c r="O983" s="326"/>
      <c r="P983" s="326"/>
      <c r="Q983" s="326"/>
      <c r="R983" s="326"/>
      <c r="S983" s="326"/>
      <c r="T983" s="326"/>
      <c r="U983" s="326"/>
      <c r="V983" s="326"/>
      <c r="W983" s="326"/>
      <c r="X983" s="326"/>
    </row>
    <row r="984" spans="12:24" ht="15.75">
      <c r="L984" s="326"/>
      <c r="M984" s="326"/>
      <c r="N984" s="326"/>
      <c r="O984" s="326"/>
      <c r="P984" s="326"/>
      <c r="Q984" s="326"/>
      <c r="R984" s="326"/>
      <c r="S984" s="326"/>
      <c r="T984" s="326"/>
      <c r="U984" s="326"/>
      <c r="V984" s="326"/>
      <c r="W984" s="326"/>
      <c r="X984" s="326"/>
    </row>
    <row r="985" spans="12:24" ht="15.75">
      <c r="L985" s="326"/>
      <c r="M985" s="326"/>
      <c r="N985" s="326"/>
      <c r="O985" s="326"/>
      <c r="P985" s="326"/>
      <c r="Q985" s="326"/>
      <c r="R985" s="326"/>
      <c r="S985" s="326"/>
      <c r="T985" s="326"/>
      <c r="U985" s="326"/>
      <c r="V985" s="326"/>
      <c r="W985" s="326"/>
      <c r="X985" s="326"/>
    </row>
    <row r="986" spans="12:24" ht="15.75">
      <c r="L986" s="326"/>
      <c r="M986" s="326"/>
      <c r="N986" s="326"/>
      <c r="O986" s="326"/>
      <c r="P986" s="326"/>
      <c r="Q986" s="326"/>
      <c r="R986" s="326"/>
      <c r="S986" s="326"/>
      <c r="T986" s="326"/>
      <c r="U986" s="326"/>
      <c r="V986" s="326"/>
      <c r="W986" s="326"/>
      <c r="X986" s="326"/>
    </row>
    <row r="987" spans="12:24" ht="15.75">
      <c r="L987" s="326"/>
      <c r="M987" s="326"/>
      <c r="N987" s="326"/>
      <c r="O987" s="326"/>
      <c r="P987" s="326"/>
      <c r="Q987" s="326"/>
      <c r="R987" s="326"/>
      <c r="S987" s="326"/>
      <c r="T987" s="326"/>
      <c r="U987" s="326"/>
      <c r="V987" s="326"/>
      <c r="W987" s="326"/>
      <c r="X987" s="326"/>
    </row>
    <row r="988" spans="12:24" ht="15.75">
      <c r="L988" s="326"/>
      <c r="M988" s="326"/>
      <c r="N988" s="326"/>
      <c r="O988" s="326"/>
      <c r="P988" s="326"/>
      <c r="Q988" s="326"/>
      <c r="R988" s="326"/>
      <c r="S988" s="326"/>
      <c r="T988" s="326"/>
      <c r="U988" s="326"/>
      <c r="V988" s="326"/>
      <c r="W988" s="326"/>
      <c r="X988" s="326"/>
    </row>
    <row r="989" spans="12:24" ht="15.75">
      <c r="L989" s="326"/>
      <c r="M989" s="326"/>
      <c r="N989" s="326"/>
      <c r="O989" s="326"/>
      <c r="P989" s="326"/>
      <c r="Q989" s="326"/>
      <c r="R989" s="326"/>
      <c r="S989" s="326"/>
      <c r="T989" s="326"/>
      <c r="U989" s="326"/>
      <c r="V989" s="326"/>
      <c r="W989" s="326"/>
      <c r="X989" s="326"/>
    </row>
    <row r="990" spans="12:24" ht="15.75">
      <c r="L990" s="326"/>
      <c r="M990" s="326"/>
      <c r="N990" s="326"/>
      <c r="O990" s="326"/>
      <c r="P990" s="326"/>
      <c r="Q990" s="326"/>
      <c r="R990" s="326"/>
      <c r="S990" s="326"/>
      <c r="T990" s="326"/>
      <c r="U990" s="326"/>
      <c r="V990" s="326"/>
      <c r="W990" s="326"/>
      <c r="X990" s="326"/>
    </row>
    <row r="991" spans="12:24" ht="15.75">
      <c r="L991" s="326"/>
      <c r="M991" s="326"/>
      <c r="N991" s="326"/>
      <c r="O991" s="326"/>
      <c r="P991" s="326"/>
      <c r="Q991" s="326"/>
      <c r="R991" s="326"/>
      <c r="S991" s="326"/>
      <c r="T991" s="326"/>
      <c r="U991" s="326"/>
      <c r="V991" s="326"/>
      <c r="W991" s="326"/>
      <c r="X991" s="326"/>
    </row>
    <row r="992" spans="12:24" ht="15.75">
      <c r="L992" s="326"/>
      <c r="M992" s="326"/>
      <c r="N992" s="326"/>
      <c r="O992" s="326"/>
      <c r="P992" s="326"/>
      <c r="Q992" s="326"/>
      <c r="R992" s="326"/>
      <c r="S992" s="326"/>
      <c r="T992" s="326"/>
      <c r="U992" s="326"/>
      <c r="V992" s="326"/>
      <c r="W992" s="326"/>
      <c r="X992" s="326"/>
    </row>
    <row r="993" spans="12:24" ht="15.75">
      <c r="L993" s="326"/>
      <c r="M993" s="326"/>
      <c r="N993" s="326"/>
      <c r="O993" s="326"/>
      <c r="P993" s="326"/>
      <c r="Q993" s="326"/>
      <c r="R993" s="326"/>
      <c r="S993" s="326"/>
      <c r="T993" s="326"/>
      <c r="U993" s="326"/>
      <c r="V993" s="326"/>
      <c r="W993" s="326"/>
      <c r="X993" s="326"/>
    </row>
    <row r="994" spans="12:24" ht="15.75">
      <c r="L994" s="326"/>
      <c r="M994" s="326"/>
      <c r="N994" s="326"/>
      <c r="O994" s="326"/>
      <c r="P994" s="326"/>
      <c r="Q994" s="326"/>
      <c r="R994" s="326"/>
      <c r="S994" s="326"/>
      <c r="T994" s="326"/>
      <c r="U994" s="326"/>
      <c r="V994" s="326"/>
      <c r="W994" s="326"/>
      <c r="X994" s="326"/>
    </row>
    <row r="995" spans="12:24" ht="15.75">
      <c r="L995" s="326"/>
      <c r="M995" s="326"/>
      <c r="N995" s="326"/>
      <c r="O995" s="326"/>
      <c r="P995" s="326"/>
      <c r="Q995" s="326"/>
      <c r="R995" s="326"/>
      <c r="S995" s="326"/>
      <c r="T995" s="326"/>
      <c r="U995" s="326"/>
      <c r="V995" s="326"/>
      <c r="W995" s="326"/>
      <c r="X995" s="326"/>
    </row>
    <row r="996" spans="12:24" ht="15.75">
      <c r="L996" s="326"/>
      <c r="M996" s="326"/>
      <c r="N996" s="326"/>
      <c r="O996" s="326"/>
      <c r="P996" s="326"/>
      <c r="Q996" s="326"/>
      <c r="R996" s="326"/>
      <c r="S996" s="326"/>
      <c r="T996" s="326"/>
      <c r="U996" s="326"/>
      <c r="V996" s="326"/>
      <c r="W996" s="326"/>
      <c r="X996" s="326"/>
    </row>
    <row r="997" spans="12:24" ht="15.75">
      <c r="L997" s="326"/>
      <c r="M997" s="326"/>
      <c r="N997" s="326"/>
      <c r="O997" s="326"/>
      <c r="P997" s="326"/>
      <c r="Q997" s="326"/>
      <c r="R997" s="326"/>
      <c r="S997" s="326"/>
      <c r="T997" s="326"/>
      <c r="U997" s="326"/>
      <c r="V997" s="326"/>
      <c r="W997" s="326"/>
      <c r="X997" s="326"/>
    </row>
    <row r="998" spans="12:24" ht="15.75">
      <c r="L998" s="326"/>
      <c r="M998" s="326"/>
      <c r="N998" s="326"/>
      <c r="O998" s="326"/>
      <c r="P998" s="326"/>
      <c r="Q998" s="326"/>
      <c r="R998" s="326"/>
      <c r="S998" s="326"/>
      <c r="T998" s="326"/>
      <c r="U998" s="326"/>
      <c r="V998" s="326"/>
      <c r="W998" s="326"/>
      <c r="X998" s="326"/>
    </row>
  </sheetData>
  <mergeCells count="96">
    <mergeCell ref="B216:D216"/>
    <mergeCell ref="A217:D217"/>
    <mergeCell ref="E1:L1"/>
    <mergeCell ref="A159:A216"/>
    <mergeCell ref="C159:C162"/>
    <mergeCell ref="A135:A158"/>
    <mergeCell ref="B135:B136"/>
    <mergeCell ref="B138:B144"/>
    <mergeCell ref="B145:B146"/>
    <mergeCell ref="B147:B149"/>
    <mergeCell ref="B150:B153"/>
    <mergeCell ref="B158:D158"/>
    <mergeCell ref="B173:B179"/>
    <mergeCell ref="C173:C179"/>
    <mergeCell ref="B180:B183"/>
    <mergeCell ref="C180:C183"/>
    <mergeCell ref="B184:B186"/>
    <mergeCell ref="C184:C186"/>
    <mergeCell ref="B187:B192"/>
    <mergeCell ref="B202:B203"/>
    <mergeCell ref="C202:C203"/>
    <mergeCell ref="B204:B206"/>
    <mergeCell ref="C204:C206"/>
    <mergeCell ref="C135:C136"/>
    <mergeCell ref="C138:C144"/>
    <mergeCell ref="C145:C146"/>
    <mergeCell ref="C147:C149"/>
    <mergeCell ref="C150:C153"/>
    <mergeCell ref="C187:C192"/>
    <mergeCell ref="B194:B199"/>
    <mergeCell ref="C194:C199"/>
    <mergeCell ref="B200:B201"/>
    <mergeCell ref="C200:C201"/>
    <mergeCell ref="B159:B162"/>
    <mergeCell ref="B163:B167"/>
    <mergeCell ref="C163:C167"/>
    <mergeCell ref="B168:B172"/>
    <mergeCell ref="C168:C172"/>
    <mergeCell ref="A69:A93"/>
    <mergeCell ref="B70:B74"/>
    <mergeCell ref="C70:C74"/>
    <mergeCell ref="C75:C78"/>
    <mergeCell ref="A94:A134"/>
    <mergeCell ref="B131:B132"/>
    <mergeCell ref="C131:C132"/>
    <mergeCell ref="B134:D134"/>
    <mergeCell ref="B128:B130"/>
    <mergeCell ref="C128:C130"/>
    <mergeCell ref="C106:C110"/>
    <mergeCell ref="B79:B85"/>
    <mergeCell ref="C79:C85"/>
    <mergeCell ref="B86:B89"/>
    <mergeCell ref="C86:C89"/>
    <mergeCell ref="B94:B103"/>
    <mergeCell ref="C94:C103"/>
    <mergeCell ref="B104:B105"/>
    <mergeCell ref="C104:C105"/>
    <mergeCell ref="B106:B110"/>
    <mergeCell ref="B119:B120"/>
    <mergeCell ref="C119:C120"/>
    <mergeCell ref="B122:B125"/>
    <mergeCell ref="C122:C125"/>
    <mergeCell ref="B111:B113"/>
    <mergeCell ref="C111:C113"/>
    <mergeCell ref="B114:B118"/>
    <mergeCell ref="C114:C118"/>
    <mergeCell ref="A6:A68"/>
    <mergeCell ref="B6:B23"/>
    <mergeCell ref="C6:C23"/>
    <mergeCell ref="B24:B25"/>
    <mergeCell ref="C24:C25"/>
    <mergeCell ref="B68:D68"/>
    <mergeCell ref="B47:B56"/>
    <mergeCell ref="C47:C56"/>
    <mergeCell ref="B57:B66"/>
    <mergeCell ref="C57:C66"/>
    <mergeCell ref="B40:B46"/>
    <mergeCell ref="C40:C46"/>
    <mergeCell ref="B26:B36"/>
    <mergeCell ref="C26:C36"/>
    <mergeCell ref="B37:B39"/>
    <mergeCell ref="C37:C39"/>
    <mergeCell ref="L4:M4"/>
    <mergeCell ref="N4:Q4"/>
    <mergeCell ref="B93:D93"/>
    <mergeCell ref="B75:B78"/>
    <mergeCell ref="R4:U4"/>
    <mergeCell ref="X3:Y3"/>
    <mergeCell ref="A4:A5"/>
    <mergeCell ref="B4:B5"/>
    <mergeCell ref="C4:C5"/>
    <mergeCell ref="D4:D5"/>
    <mergeCell ref="E4:E5"/>
    <mergeCell ref="H4:K4"/>
    <mergeCell ref="F4:G4"/>
    <mergeCell ref="Y4:Y5"/>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Y972"/>
  <sheetViews>
    <sheetView workbookViewId="0">
      <pane xSplit="5" ySplit="5" topLeftCell="F203" activePane="bottomRight" state="frozen"/>
      <selection pane="topRight" activeCell="F1" sqref="F1"/>
      <selection pane="bottomLeft" activeCell="A6" sqref="A6"/>
      <selection pane="bottomRight" activeCell="Y203" sqref="Y203"/>
    </sheetView>
  </sheetViews>
  <sheetFormatPr defaultColWidth="14.42578125" defaultRowHeight="15" customHeight="1"/>
  <cols>
    <col min="1" max="1" width="5.140625" style="111" customWidth="1"/>
    <col min="2" max="2" width="7" style="111" customWidth="1"/>
    <col min="3" max="3" width="11.42578125" style="111" customWidth="1"/>
    <col min="4" max="4" width="8.140625" style="111" customWidth="1"/>
    <col min="5" max="5" width="17" style="111" customWidth="1"/>
    <col min="6" max="6" width="9.28515625" style="111" customWidth="1"/>
    <col min="7" max="7" width="7.5703125" style="111" hidden="1" customWidth="1"/>
    <col min="8" max="8" width="10.28515625" style="111" customWidth="1"/>
    <col min="9" max="9" width="6.7109375" style="111" customWidth="1"/>
    <col min="10" max="10" width="9.7109375" style="111" customWidth="1"/>
    <col min="11" max="11" width="8.42578125" style="111" hidden="1" customWidth="1"/>
    <col min="12" max="12" width="10.5703125" style="111" customWidth="1"/>
    <col min="13" max="13" width="10.140625" style="111" hidden="1" customWidth="1"/>
    <col min="14" max="14" width="5.5703125" style="111" customWidth="1"/>
    <col min="15" max="15" width="10.140625" style="111" customWidth="1"/>
    <col min="16" max="16" width="9.28515625" style="111" customWidth="1"/>
    <col min="17" max="17" width="11.7109375" style="111" hidden="1" customWidth="1"/>
    <col min="18" max="18" width="9.5703125" style="111" customWidth="1"/>
    <col min="19" max="19" width="17.7109375" style="111" hidden="1" customWidth="1"/>
    <col min="20" max="20" width="11.85546875" style="111" customWidth="1"/>
    <col min="21" max="21" width="15.7109375" style="111" hidden="1" customWidth="1"/>
    <col min="22" max="22" width="9.85546875" style="111" customWidth="1"/>
    <col min="23" max="23" width="9.140625" style="111" hidden="1" customWidth="1"/>
    <col min="24" max="24" width="9.42578125" style="111" customWidth="1"/>
    <col min="25" max="25" width="42" style="157"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9"/>
    </row>
    <row r="3" spans="1:25" ht="22.5" customHeight="1">
      <c r="A3" s="38"/>
      <c r="B3" s="112"/>
      <c r="C3" s="112"/>
      <c r="D3" s="112"/>
      <c r="E3" s="112" t="s">
        <v>358</v>
      </c>
      <c r="F3" s="112"/>
      <c r="G3" s="112"/>
      <c r="H3" s="112"/>
      <c r="I3" s="112"/>
      <c r="J3" s="112"/>
      <c r="K3" s="112"/>
      <c r="L3" s="112"/>
      <c r="M3" s="112"/>
      <c r="N3" s="112"/>
      <c r="O3" s="112"/>
      <c r="P3" s="112"/>
      <c r="Q3" s="112"/>
      <c r="R3" s="112"/>
      <c r="S3" s="112"/>
      <c r="T3" s="112"/>
      <c r="U3" s="112"/>
      <c r="V3" s="112"/>
      <c r="W3" s="113"/>
      <c r="X3" s="470" t="s">
        <v>2</v>
      </c>
      <c r="Y3" s="471"/>
    </row>
    <row r="4" spans="1:25" ht="67.5"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43.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39" customHeight="1">
      <c r="A6" s="477" t="s">
        <v>24</v>
      </c>
      <c r="B6" s="476" t="s">
        <v>25</v>
      </c>
      <c r="C6" s="476" t="s">
        <v>26</v>
      </c>
      <c r="D6" s="106">
        <v>1</v>
      </c>
      <c r="E6" s="223" t="s">
        <v>27</v>
      </c>
      <c r="F6" s="140"/>
      <c r="G6" s="116"/>
      <c r="H6" s="116"/>
      <c r="I6" s="116"/>
      <c r="J6" s="116">
        <f t="shared" ref="J6:J67" si="0">H6+I6</f>
        <v>0</v>
      </c>
      <c r="K6" s="116"/>
      <c r="L6" s="140"/>
      <c r="M6" s="116"/>
      <c r="N6" s="116"/>
      <c r="O6" s="116"/>
      <c r="P6" s="116">
        <f t="shared" ref="P6:P67" si="1">N6+O6</f>
        <v>0</v>
      </c>
      <c r="Q6" s="116"/>
      <c r="R6" s="140"/>
      <c r="S6" s="116"/>
      <c r="T6" s="140"/>
      <c r="U6" s="116"/>
      <c r="V6" s="116"/>
      <c r="W6" s="117"/>
      <c r="X6" s="117">
        <f t="shared" ref="X6:X217" si="2">F6+J6+L6+P6+R6+T6+V6</f>
        <v>0</v>
      </c>
      <c r="Y6" s="97"/>
    </row>
    <row r="7" spans="1:25" ht="63">
      <c r="A7" s="469"/>
      <c r="B7" s="469"/>
      <c r="C7" s="469"/>
      <c r="D7" s="106">
        <v>2</v>
      </c>
      <c r="E7" s="115" t="s">
        <v>28</v>
      </c>
      <c r="F7" s="140"/>
      <c r="G7" s="116"/>
      <c r="H7" s="116"/>
      <c r="I7" s="116"/>
      <c r="J7" s="116">
        <f t="shared" si="0"/>
        <v>0</v>
      </c>
      <c r="K7" s="116"/>
      <c r="L7" s="140"/>
      <c r="M7" s="116"/>
      <c r="N7" s="116"/>
      <c r="O7" s="119"/>
      <c r="P7" s="117">
        <f t="shared" si="1"/>
        <v>0</v>
      </c>
      <c r="Q7" s="127"/>
      <c r="R7" s="140"/>
      <c r="S7" s="121"/>
      <c r="T7" s="161"/>
      <c r="U7" s="116"/>
      <c r="V7" s="116"/>
      <c r="W7" s="117"/>
      <c r="X7" s="117">
        <f t="shared" si="2"/>
        <v>0</v>
      </c>
      <c r="Y7" s="97"/>
    </row>
    <row r="8" spans="1:25" ht="27.75" customHeight="1">
      <c r="A8" s="469"/>
      <c r="B8" s="469"/>
      <c r="C8" s="469"/>
      <c r="D8" s="106">
        <v>3</v>
      </c>
      <c r="E8" s="106" t="s">
        <v>29</v>
      </c>
      <c r="F8" s="161">
        <v>43.770659999999999</v>
      </c>
      <c r="G8" s="120"/>
      <c r="H8" s="120"/>
      <c r="I8" s="120"/>
      <c r="J8" s="116">
        <f t="shared" si="0"/>
        <v>0</v>
      </c>
      <c r="K8" s="120"/>
      <c r="L8" s="140"/>
      <c r="M8" s="120"/>
      <c r="N8" s="120"/>
      <c r="O8" s="120"/>
      <c r="P8" s="116">
        <f t="shared" si="1"/>
        <v>0</v>
      </c>
      <c r="Q8" s="120"/>
      <c r="R8" s="140">
        <v>0</v>
      </c>
      <c r="S8" s="120"/>
      <c r="T8" s="140"/>
      <c r="U8" s="116"/>
      <c r="V8" s="116"/>
      <c r="W8" s="117"/>
      <c r="X8" s="117">
        <f t="shared" si="2"/>
        <v>43.770659999999999</v>
      </c>
      <c r="Y8" s="97" t="s">
        <v>839</v>
      </c>
    </row>
    <row r="9" spans="1:25" ht="409.5">
      <c r="A9" s="469"/>
      <c r="B9" s="469"/>
      <c r="C9" s="469"/>
      <c r="D9" s="106">
        <v>4</v>
      </c>
      <c r="E9" s="106" t="s">
        <v>30</v>
      </c>
      <c r="F9" s="140"/>
      <c r="G9" s="116"/>
      <c r="H9" s="116"/>
      <c r="I9" s="116"/>
      <c r="J9" s="116">
        <f t="shared" si="0"/>
        <v>0</v>
      </c>
      <c r="K9" s="116"/>
      <c r="L9" s="140"/>
      <c r="M9" s="116"/>
      <c r="N9" s="116"/>
      <c r="O9" s="302">
        <v>55.790500000000002</v>
      </c>
      <c r="P9" s="116">
        <f t="shared" si="1"/>
        <v>55.790500000000002</v>
      </c>
      <c r="Q9" s="122"/>
      <c r="R9" s="261">
        <v>44.914999999999999</v>
      </c>
      <c r="S9" s="121"/>
      <c r="T9" s="124">
        <v>76.922399999999996</v>
      </c>
      <c r="U9" s="120"/>
      <c r="V9" s="120"/>
      <c r="W9" s="117"/>
      <c r="X9" s="117">
        <f t="shared" si="2"/>
        <v>177.62790000000001</v>
      </c>
      <c r="Y9" s="97" t="s">
        <v>840</v>
      </c>
    </row>
    <row r="10" spans="1:25" ht="41.25" customHeight="1">
      <c r="A10" s="469"/>
      <c r="B10" s="469"/>
      <c r="C10" s="469"/>
      <c r="D10" s="106">
        <v>5</v>
      </c>
      <c r="E10" s="106" t="s">
        <v>31</v>
      </c>
      <c r="F10" s="140"/>
      <c r="G10" s="120"/>
      <c r="H10" s="120"/>
      <c r="I10" s="120"/>
      <c r="J10" s="116">
        <f t="shared" si="0"/>
        <v>0</v>
      </c>
      <c r="K10" s="120"/>
      <c r="L10" s="140"/>
      <c r="M10" s="120"/>
      <c r="N10" s="120"/>
      <c r="O10" s="120"/>
      <c r="P10" s="116">
        <f t="shared" si="1"/>
        <v>0</v>
      </c>
      <c r="Q10" s="120"/>
      <c r="R10" s="140"/>
      <c r="S10" s="122"/>
      <c r="T10" s="162">
        <v>45.206000000000003</v>
      </c>
      <c r="U10" s="120"/>
      <c r="V10" s="120"/>
      <c r="W10" s="117"/>
      <c r="X10" s="117">
        <f t="shared" si="2"/>
        <v>45.206000000000003</v>
      </c>
      <c r="Y10" s="97" t="s">
        <v>841</v>
      </c>
    </row>
    <row r="11" spans="1:25" ht="189">
      <c r="A11" s="469"/>
      <c r="B11" s="469"/>
      <c r="C11" s="469"/>
      <c r="D11" s="106">
        <v>6</v>
      </c>
      <c r="E11" s="106" t="s">
        <v>32</v>
      </c>
      <c r="F11" s="140">
        <v>0.86</v>
      </c>
      <c r="G11" s="120"/>
      <c r="H11" s="120"/>
      <c r="I11" s="120"/>
      <c r="J11" s="116">
        <f t="shared" si="0"/>
        <v>0</v>
      </c>
      <c r="K11" s="120"/>
      <c r="L11" s="140"/>
      <c r="M11" s="120"/>
      <c r="N11" s="120"/>
      <c r="O11" s="120"/>
      <c r="P11" s="116">
        <f t="shared" si="1"/>
        <v>0</v>
      </c>
      <c r="Q11" s="120"/>
      <c r="R11" s="140"/>
      <c r="S11" s="121"/>
      <c r="T11" s="161">
        <v>0.65</v>
      </c>
      <c r="U11" s="120"/>
      <c r="V11" s="120"/>
      <c r="W11" s="117"/>
      <c r="X11" s="117">
        <f t="shared" si="2"/>
        <v>1.51</v>
      </c>
      <c r="Y11" s="97" t="s">
        <v>842</v>
      </c>
    </row>
    <row r="12" spans="1:25" ht="63">
      <c r="A12" s="469"/>
      <c r="B12" s="469"/>
      <c r="C12" s="469"/>
      <c r="D12" s="106">
        <v>7</v>
      </c>
      <c r="E12" s="106" t="s">
        <v>33</v>
      </c>
      <c r="F12" s="140"/>
      <c r="G12" s="120"/>
      <c r="H12" s="120"/>
      <c r="I12" s="120"/>
      <c r="J12" s="116">
        <f t="shared" si="0"/>
        <v>0</v>
      </c>
      <c r="K12" s="120"/>
      <c r="L12" s="140"/>
      <c r="M12" s="120"/>
      <c r="N12" s="120"/>
      <c r="O12" s="120"/>
      <c r="P12" s="116">
        <f t="shared" si="1"/>
        <v>0</v>
      </c>
      <c r="Q12" s="120"/>
      <c r="R12" s="140"/>
      <c r="S12" s="121"/>
      <c r="T12" s="161"/>
      <c r="U12" s="120"/>
      <c r="V12" s="120"/>
      <c r="W12" s="117"/>
      <c r="X12" s="117">
        <f t="shared" si="2"/>
        <v>0</v>
      </c>
      <c r="Y12" s="97"/>
    </row>
    <row r="13" spans="1:25" ht="24.75" customHeight="1">
      <c r="A13" s="469"/>
      <c r="B13" s="469"/>
      <c r="C13" s="469"/>
      <c r="D13" s="106">
        <v>8</v>
      </c>
      <c r="E13" s="106" t="s">
        <v>34</v>
      </c>
      <c r="F13" s="140"/>
      <c r="G13" s="120"/>
      <c r="H13" s="120"/>
      <c r="I13" s="120"/>
      <c r="J13" s="116">
        <f t="shared" si="0"/>
        <v>0</v>
      </c>
      <c r="K13" s="120"/>
      <c r="L13" s="140"/>
      <c r="M13" s="120"/>
      <c r="N13" s="120"/>
      <c r="O13" s="120"/>
      <c r="P13" s="116">
        <f t="shared" si="1"/>
        <v>0</v>
      </c>
      <c r="Q13" s="120"/>
      <c r="R13" s="140"/>
      <c r="S13" s="120"/>
      <c r="T13" s="140"/>
      <c r="U13" s="120"/>
      <c r="V13" s="120"/>
      <c r="W13" s="117"/>
      <c r="X13" s="117">
        <f t="shared" si="2"/>
        <v>0</v>
      </c>
      <c r="Y13" s="97"/>
    </row>
    <row r="14" spans="1:25" ht="71.25" customHeight="1">
      <c r="A14" s="469"/>
      <c r="B14" s="469"/>
      <c r="C14" s="469"/>
      <c r="D14" s="106">
        <v>9</v>
      </c>
      <c r="E14" s="106" t="s">
        <v>35</v>
      </c>
      <c r="F14" s="140"/>
      <c r="G14" s="120"/>
      <c r="H14" s="120"/>
      <c r="I14" s="120"/>
      <c r="J14" s="116">
        <f t="shared" si="0"/>
        <v>0</v>
      </c>
      <c r="K14" s="120"/>
      <c r="L14" s="140"/>
      <c r="M14" s="120"/>
      <c r="N14" s="120"/>
      <c r="O14" s="120"/>
      <c r="P14" s="116">
        <f t="shared" si="1"/>
        <v>0</v>
      </c>
      <c r="Q14" s="120"/>
      <c r="R14" s="140"/>
      <c r="S14" s="120"/>
      <c r="T14" s="140">
        <v>0.01</v>
      </c>
      <c r="U14" s="121"/>
      <c r="V14" s="121"/>
      <c r="W14" s="117"/>
      <c r="X14" s="117">
        <f t="shared" si="2"/>
        <v>0.01</v>
      </c>
      <c r="Y14" s="97" t="s">
        <v>822</v>
      </c>
    </row>
    <row r="15" spans="1:25" ht="31.5">
      <c r="A15" s="469"/>
      <c r="B15" s="469"/>
      <c r="C15" s="469"/>
      <c r="D15" s="106">
        <v>10</v>
      </c>
      <c r="E15" s="106" t="s">
        <v>36</v>
      </c>
      <c r="F15" s="140"/>
      <c r="G15" s="120"/>
      <c r="H15" s="120"/>
      <c r="I15" s="120"/>
      <c r="J15" s="116">
        <f t="shared" si="0"/>
        <v>0</v>
      </c>
      <c r="K15" s="122"/>
      <c r="L15" s="162"/>
      <c r="M15" s="120"/>
      <c r="N15" s="120"/>
      <c r="O15" s="120"/>
      <c r="P15" s="116">
        <f t="shared" si="1"/>
        <v>0</v>
      </c>
      <c r="Q15" s="120"/>
      <c r="R15" s="140"/>
      <c r="S15" s="120"/>
      <c r="T15" s="140"/>
      <c r="U15" s="120"/>
      <c r="V15" s="120"/>
      <c r="W15" s="117"/>
      <c r="X15" s="117">
        <f t="shared" si="2"/>
        <v>0</v>
      </c>
      <c r="Y15" s="97"/>
    </row>
    <row r="16" spans="1:25" ht="24.75" customHeight="1">
      <c r="A16" s="469"/>
      <c r="B16" s="469"/>
      <c r="C16" s="469"/>
      <c r="D16" s="106">
        <v>11</v>
      </c>
      <c r="E16" s="106" t="s">
        <v>37</v>
      </c>
      <c r="F16" s="140"/>
      <c r="G16" s="125"/>
      <c r="H16" s="125"/>
      <c r="I16" s="125"/>
      <c r="J16" s="125">
        <f t="shared" si="0"/>
        <v>0</v>
      </c>
      <c r="K16" s="116"/>
      <c r="L16" s="140"/>
      <c r="M16" s="116"/>
      <c r="N16" s="116"/>
      <c r="O16" s="116"/>
      <c r="P16" s="116">
        <f t="shared" si="1"/>
        <v>0</v>
      </c>
      <c r="Q16" s="116"/>
      <c r="R16" s="140"/>
      <c r="S16" s="116"/>
      <c r="T16" s="140"/>
      <c r="U16" s="116"/>
      <c r="V16" s="116"/>
      <c r="W16" s="117"/>
      <c r="X16" s="117">
        <f t="shared" si="2"/>
        <v>0</v>
      </c>
      <c r="Y16" s="97"/>
    </row>
    <row r="17" spans="1:25" ht="15.75">
      <c r="A17" s="469"/>
      <c r="B17" s="469"/>
      <c r="C17" s="469"/>
      <c r="D17" s="106">
        <v>12</v>
      </c>
      <c r="E17" s="106" t="s">
        <v>38</v>
      </c>
      <c r="F17" s="140"/>
      <c r="G17" s="116"/>
      <c r="H17" s="116"/>
      <c r="I17" s="116"/>
      <c r="J17" s="116">
        <f t="shared" si="0"/>
        <v>0</v>
      </c>
      <c r="K17" s="116"/>
      <c r="L17" s="140"/>
      <c r="M17" s="116"/>
      <c r="N17" s="116"/>
      <c r="O17" s="116"/>
      <c r="P17" s="116">
        <f t="shared" si="1"/>
        <v>0</v>
      </c>
      <c r="Q17" s="116"/>
      <c r="R17" s="140"/>
      <c r="S17" s="116"/>
      <c r="T17" s="140"/>
      <c r="U17" s="116"/>
      <c r="V17" s="116"/>
      <c r="W17" s="117"/>
      <c r="X17" s="117">
        <f t="shared" si="2"/>
        <v>0</v>
      </c>
      <c r="Y17" s="97"/>
    </row>
    <row r="18" spans="1:25" ht="24.75" customHeight="1">
      <c r="A18" s="469"/>
      <c r="B18" s="469"/>
      <c r="C18" s="469"/>
      <c r="D18" s="106">
        <v>13</v>
      </c>
      <c r="E18" s="106" t="s">
        <v>39</v>
      </c>
      <c r="F18" s="140"/>
      <c r="G18" s="116"/>
      <c r="H18" s="116"/>
      <c r="I18" s="116"/>
      <c r="J18" s="116">
        <f t="shared" si="0"/>
        <v>0</v>
      </c>
      <c r="K18" s="116"/>
      <c r="L18" s="140"/>
      <c r="M18" s="116"/>
      <c r="N18" s="116"/>
      <c r="O18" s="116"/>
      <c r="P18" s="116">
        <f t="shared" si="1"/>
        <v>0</v>
      </c>
      <c r="Q18" s="116"/>
      <c r="R18" s="140"/>
      <c r="S18" s="125"/>
      <c r="T18" s="161"/>
      <c r="U18" s="116"/>
      <c r="V18" s="116"/>
      <c r="W18" s="117"/>
      <c r="X18" s="117">
        <f t="shared" si="2"/>
        <v>0</v>
      </c>
      <c r="Y18" s="97"/>
    </row>
    <row r="19" spans="1:25" ht="24.75" customHeight="1">
      <c r="A19" s="469"/>
      <c r="B19" s="469"/>
      <c r="C19" s="469"/>
      <c r="D19" s="106">
        <v>14</v>
      </c>
      <c r="E19" s="106" t="s">
        <v>40</v>
      </c>
      <c r="F19" s="140"/>
      <c r="G19" s="116"/>
      <c r="H19" s="116"/>
      <c r="I19" s="116"/>
      <c r="J19" s="116">
        <f t="shared" si="0"/>
        <v>0</v>
      </c>
      <c r="K19" s="116"/>
      <c r="L19" s="140"/>
      <c r="M19" s="116"/>
      <c r="N19" s="116"/>
      <c r="O19" s="116"/>
      <c r="P19" s="116">
        <f t="shared" si="1"/>
        <v>0</v>
      </c>
      <c r="Q19" s="116"/>
      <c r="R19" s="140"/>
      <c r="S19" s="116"/>
      <c r="T19" s="140"/>
      <c r="U19" s="116"/>
      <c r="V19" s="116"/>
      <c r="W19" s="117"/>
      <c r="X19" s="117">
        <f t="shared" si="2"/>
        <v>0</v>
      </c>
      <c r="Y19" s="97"/>
    </row>
    <row r="20" spans="1:25" ht="15.75">
      <c r="A20" s="469"/>
      <c r="B20" s="469"/>
      <c r="C20" s="469"/>
      <c r="D20" s="106">
        <v>15</v>
      </c>
      <c r="E20" s="106" t="s">
        <v>41</v>
      </c>
      <c r="F20" s="140"/>
      <c r="G20" s="120"/>
      <c r="H20" s="120"/>
      <c r="I20" s="120"/>
      <c r="J20" s="116">
        <f t="shared" si="0"/>
        <v>0</v>
      </c>
      <c r="K20" s="126"/>
      <c r="L20" s="340"/>
      <c r="M20" s="120"/>
      <c r="N20" s="120"/>
      <c r="O20" s="120"/>
      <c r="P20" s="116">
        <f t="shared" si="1"/>
        <v>0</v>
      </c>
      <c r="Q20" s="120"/>
      <c r="R20" s="140"/>
      <c r="S20" s="125"/>
      <c r="T20" s="161">
        <v>0</v>
      </c>
      <c r="U20" s="116"/>
      <c r="V20" s="116"/>
      <c r="W20" s="117"/>
      <c r="X20" s="117">
        <f t="shared" si="2"/>
        <v>0</v>
      </c>
      <c r="Y20" s="97"/>
    </row>
    <row r="21" spans="1:25" ht="36.75" customHeight="1">
      <c r="A21" s="469"/>
      <c r="B21" s="469"/>
      <c r="C21" s="469"/>
      <c r="D21" s="106">
        <v>16</v>
      </c>
      <c r="E21" s="106" t="s">
        <v>42</v>
      </c>
      <c r="F21" s="140"/>
      <c r="G21" s="116"/>
      <c r="H21" s="116"/>
      <c r="I21" s="116"/>
      <c r="J21" s="116">
        <f t="shared" si="0"/>
        <v>0</v>
      </c>
      <c r="K21" s="116"/>
      <c r="L21" s="140"/>
      <c r="M21" s="116"/>
      <c r="N21" s="116"/>
      <c r="O21" s="116"/>
      <c r="P21" s="116">
        <f t="shared" si="1"/>
        <v>0</v>
      </c>
      <c r="Q21" s="116"/>
      <c r="R21" s="140"/>
      <c r="S21" s="116"/>
      <c r="T21" s="140"/>
      <c r="U21" s="116"/>
      <c r="V21" s="116"/>
      <c r="W21" s="117"/>
      <c r="X21" s="117">
        <f t="shared" si="2"/>
        <v>0</v>
      </c>
      <c r="Y21" s="97"/>
    </row>
    <row r="22" spans="1:25" ht="31.5">
      <c r="A22" s="469"/>
      <c r="B22" s="469"/>
      <c r="C22" s="469"/>
      <c r="D22" s="106">
        <v>17</v>
      </c>
      <c r="E22" s="106" t="s">
        <v>43</v>
      </c>
      <c r="F22" s="140"/>
      <c r="G22" s="120"/>
      <c r="H22" s="120"/>
      <c r="I22" s="120"/>
      <c r="J22" s="116">
        <f t="shared" si="0"/>
        <v>0</v>
      </c>
      <c r="K22" s="122"/>
      <c r="L22" s="162"/>
      <c r="M22" s="120"/>
      <c r="N22" s="120"/>
      <c r="O22" s="120"/>
      <c r="P22" s="116">
        <f t="shared" si="1"/>
        <v>0</v>
      </c>
      <c r="Q22" s="120"/>
      <c r="R22" s="140"/>
      <c r="S22" s="121"/>
      <c r="T22" s="161"/>
      <c r="U22" s="121"/>
      <c r="V22" s="121"/>
      <c r="W22" s="117"/>
      <c r="X22" s="117">
        <f t="shared" si="2"/>
        <v>0</v>
      </c>
      <c r="Y22" s="97"/>
    </row>
    <row r="23" spans="1:25" ht="47.25" hidden="1">
      <c r="A23" s="469"/>
      <c r="B23" s="469"/>
      <c r="C23" s="469"/>
      <c r="D23" s="106">
        <v>18</v>
      </c>
      <c r="E23" s="106" t="s">
        <v>44</v>
      </c>
      <c r="F23" s="140"/>
      <c r="G23" s="120"/>
      <c r="H23" s="120"/>
      <c r="I23" s="120"/>
      <c r="J23" s="116">
        <f t="shared" si="0"/>
        <v>0</v>
      </c>
      <c r="K23" s="120"/>
      <c r="L23" s="140"/>
      <c r="M23" s="120"/>
      <c r="N23" s="120"/>
      <c r="O23" s="120"/>
      <c r="P23" s="116">
        <f t="shared" si="1"/>
        <v>0</v>
      </c>
      <c r="Q23" s="120"/>
      <c r="R23" s="140"/>
      <c r="S23" s="121"/>
      <c r="T23" s="161"/>
      <c r="U23" s="121"/>
      <c r="V23" s="121"/>
      <c r="W23" s="117"/>
      <c r="X23" s="117">
        <f t="shared" si="2"/>
        <v>0</v>
      </c>
      <c r="Y23" s="97"/>
    </row>
    <row r="24" spans="1:25" ht="24.75" customHeight="1">
      <c r="A24" s="469"/>
      <c r="B24" s="476" t="s">
        <v>45</v>
      </c>
      <c r="C24" s="476" t="s">
        <v>46</v>
      </c>
      <c r="D24" s="106">
        <v>19</v>
      </c>
      <c r="E24" s="106" t="s">
        <v>46</v>
      </c>
      <c r="F24" s="140"/>
      <c r="G24" s="120"/>
      <c r="H24" s="120"/>
      <c r="I24" s="120"/>
      <c r="J24" s="116">
        <f t="shared" si="0"/>
        <v>0</v>
      </c>
      <c r="K24" s="120"/>
      <c r="L24" s="140"/>
      <c r="M24" s="120"/>
      <c r="N24" s="120"/>
      <c r="O24" s="120"/>
      <c r="P24" s="116">
        <f t="shared" si="1"/>
        <v>0</v>
      </c>
      <c r="Q24" s="120"/>
      <c r="R24" s="140"/>
      <c r="S24" s="120"/>
      <c r="T24" s="140"/>
      <c r="U24" s="120"/>
      <c r="V24" s="120"/>
      <c r="W24" s="117"/>
      <c r="X24" s="117">
        <f t="shared" si="2"/>
        <v>0</v>
      </c>
      <c r="Y24" s="97"/>
    </row>
    <row r="25" spans="1:25" ht="110.25">
      <c r="A25" s="469"/>
      <c r="B25" s="469"/>
      <c r="C25" s="469"/>
      <c r="D25" s="106">
        <v>20</v>
      </c>
      <c r="E25" s="106" t="s">
        <v>47</v>
      </c>
      <c r="F25" s="140"/>
      <c r="G25" s="120"/>
      <c r="H25" s="120"/>
      <c r="I25" s="120"/>
      <c r="J25" s="116">
        <f t="shared" si="0"/>
        <v>0</v>
      </c>
      <c r="K25" s="120"/>
      <c r="L25" s="150"/>
      <c r="M25" s="120"/>
      <c r="N25" s="120"/>
      <c r="O25" s="120"/>
      <c r="P25" s="116">
        <f t="shared" si="1"/>
        <v>0</v>
      </c>
      <c r="Q25" s="120"/>
      <c r="R25" s="140"/>
      <c r="S25" s="120"/>
      <c r="T25" s="140"/>
      <c r="U25" s="120"/>
      <c r="V25" s="120"/>
      <c r="W25" s="117"/>
      <c r="X25" s="117">
        <f t="shared" si="2"/>
        <v>0</v>
      </c>
      <c r="Y25" s="97"/>
    </row>
    <row r="26" spans="1:25" ht="110.25">
      <c r="A26" s="469"/>
      <c r="B26" s="476" t="s">
        <v>48</v>
      </c>
      <c r="C26" s="476" t="s">
        <v>49</v>
      </c>
      <c r="D26" s="106">
        <v>21</v>
      </c>
      <c r="E26" s="106" t="s">
        <v>50</v>
      </c>
      <c r="F26" s="140"/>
      <c r="G26" s="120"/>
      <c r="H26" s="120"/>
      <c r="I26" s="121"/>
      <c r="J26" s="125">
        <f t="shared" si="0"/>
        <v>0</v>
      </c>
      <c r="K26" s="122"/>
      <c r="L26" s="162"/>
      <c r="M26" s="120"/>
      <c r="N26" s="120"/>
      <c r="O26" s="122"/>
      <c r="P26" s="117">
        <f t="shared" si="1"/>
        <v>0</v>
      </c>
      <c r="Q26" s="120"/>
      <c r="R26" s="140"/>
      <c r="S26" s="121"/>
      <c r="T26" s="161">
        <v>17.760000000000002</v>
      </c>
      <c r="U26" s="241"/>
      <c r="V26" s="120"/>
      <c r="W26" s="117"/>
      <c r="X26" s="117">
        <f t="shared" si="2"/>
        <v>17.760000000000002</v>
      </c>
      <c r="Y26" s="135" t="s">
        <v>737</v>
      </c>
    </row>
    <row r="27" spans="1:25" ht="173.25">
      <c r="A27" s="469"/>
      <c r="B27" s="469"/>
      <c r="C27" s="469"/>
      <c r="D27" s="106">
        <v>22</v>
      </c>
      <c r="E27" s="106" t="s">
        <v>52</v>
      </c>
      <c r="F27" s="161"/>
      <c r="G27" s="120"/>
      <c r="H27" s="120"/>
      <c r="I27" s="121"/>
      <c r="J27" s="125">
        <f t="shared" si="0"/>
        <v>0</v>
      </c>
      <c r="K27" s="129"/>
      <c r="L27" s="140">
        <v>1.9059999999999999</v>
      </c>
      <c r="M27" s="115"/>
      <c r="N27" s="120"/>
      <c r="O27" s="120"/>
      <c r="P27" s="116">
        <f t="shared" si="1"/>
        <v>0</v>
      </c>
      <c r="Q27" s="121"/>
      <c r="R27" s="161">
        <v>1</v>
      </c>
      <c r="S27" s="125"/>
      <c r="T27" s="161">
        <v>141.62299999999999</v>
      </c>
      <c r="U27" s="180"/>
      <c r="V27" s="120"/>
      <c r="W27" s="117"/>
      <c r="X27" s="117">
        <f t="shared" si="2"/>
        <v>144.529</v>
      </c>
      <c r="Y27" s="97" t="s">
        <v>738</v>
      </c>
    </row>
    <row r="28" spans="1:25" ht="31.5" customHeight="1">
      <c r="A28" s="469"/>
      <c r="B28" s="469"/>
      <c r="C28" s="469"/>
      <c r="D28" s="106">
        <v>23</v>
      </c>
      <c r="E28" s="106" t="s">
        <v>55</v>
      </c>
      <c r="F28" s="140"/>
      <c r="G28" s="120"/>
      <c r="H28" s="120"/>
      <c r="I28" s="120"/>
      <c r="J28" s="116">
        <f t="shared" si="0"/>
        <v>0</v>
      </c>
      <c r="K28" s="120"/>
      <c r="L28" s="140"/>
      <c r="M28" s="120"/>
      <c r="N28" s="120"/>
      <c r="O28" s="122"/>
      <c r="P28" s="117">
        <f t="shared" si="1"/>
        <v>0</v>
      </c>
      <c r="Q28" s="120"/>
      <c r="R28" s="140"/>
      <c r="S28" s="120"/>
      <c r="T28" s="140"/>
      <c r="U28" s="120"/>
      <c r="V28" s="120"/>
      <c r="W28" s="117"/>
      <c r="X28" s="117">
        <f t="shared" si="2"/>
        <v>0</v>
      </c>
      <c r="Y28" s="245"/>
    </row>
    <row r="29" spans="1:25" ht="189">
      <c r="A29" s="469"/>
      <c r="B29" s="469"/>
      <c r="C29" s="469"/>
      <c r="D29" s="106">
        <v>24</v>
      </c>
      <c r="E29" s="106" t="s">
        <v>56</v>
      </c>
      <c r="F29" s="140"/>
      <c r="G29" s="120"/>
      <c r="H29" s="120"/>
      <c r="I29" s="121"/>
      <c r="J29" s="125">
        <f t="shared" si="0"/>
        <v>0</v>
      </c>
      <c r="K29" s="120"/>
      <c r="L29" s="140"/>
      <c r="M29" s="120"/>
      <c r="N29" s="120"/>
      <c r="O29" s="120"/>
      <c r="P29" s="116">
        <f t="shared" si="1"/>
        <v>0</v>
      </c>
      <c r="Q29" s="120"/>
      <c r="R29" s="140"/>
      <c r="S29" s="120"/>
      <c r="T29" s="140">
        <v>4.3</v>
      </c>
      <c r="U29" s="298"/>
      <c r="V29" s="120"/>
      <c r="W29" s="117"/>
      <c r="X29" s="117">
        <f t="shared" si="2"/>
        <v>4.3</v>
      </c>
      <c r="Y29" s="97" t="s">
        <v>739</v>
      </c>
    </row>
    <row r="30" spans="1:25" ht="393.75">
      <c r="A30" s="469"/>
      <c r="B30" s="469"/>
      <c r="C30" s="469"/>
      <c r="D30" s="106">
        <v>25</v>
      </c>
      <c r="E30" s="106" t="s">
        <v>57</v>
      </c>
      <c r="F30" s="140"/>
      <c r="G30" s="120"/>
      <c r="H30" s="120"/>
      <c r="I30" s="120"/>
      <c r="J30" s="116">
        <f t="shared" si="0"/>
        <v>0</v>
      </c>
      <c r="K30" s="120"/>
      <c r="L30" s="140"/>
      <c r="M30" s="120"/>
      <c r="N30" s="120"/>
      <c r="O30" s="120"/>
      <c r="P30" s="116">
        <f t="shared" si="1"/>
        <v>0</v>
      </c>
      <c r="Q30" s="120"/>
      <c r="R30" s="140"/>
      <c r="S30" s="120"/>
      <c r="T30" s="118">
        <v>0.59399999999999997</v>
      </c>
      <c r="U30" s="115"/>
      <c r="V30" s="120"/>
      <c r="W30" s="117"/>
      <c r="X30" s="117">
        <f t="shared" si="2"/>
        <v>0.59399999999999997</v>
      </c>
      <c r="Y30" s="97" t="s">
        <v>740</v>
      </c>
    </row>
    <row r="31" spans="1:25" ht="15.75">
      <c r="A31" s="469"/>
      <c r="B31" s="469"/>
      <c r="C31" s="469"/>
      <c r="D31" s="106">
        <v>26</v>
      </c>
      <c r="E31" s="106" t="s">
        <v>58</v>
      </c>
      <c r="F31" s="140"/>
      <c r="G31" s="120"/>
      <c r="H31" s="120"/>
      <c r="I31" s="120"/>
      <c r="J31" s="116">
        <f t="shared" si="0"/>
        <v>0</v>
      </c>
      <c r="K31" s="122"/>
      <c r="L31" s="162"/>
      <c r="M31" s="120"/>
      <c r="N31" s="120"/>
      <c r="O31" s="120"/>
      <c r="P31" s="116">
        <f t="shared" si="1"/>
        <v>0</v>
      </c>
      <c r="Q31" s="120"/>
      <c r="R31" s="140"/>
      <c r="S31" s="120"/>
      <c r="T31" s="140"/>
      <c r="U31" s="120"/>
      <c r="V31" s="120"/>
      <c r="W31" s="117"/>
      <c r="X31" s="117">
        <f t="shared" si="2"/>
        <v>0</v>
      </c>
      <c r="Y31" s="97"/>
    </row>
    <row r="32" spans="1:25" ht="31.5">
      <c r="A32" s="469"/>
      <c r="B32" s="469"/>
      <c r="C32" s="469"/>
      <c r="D32" s="106">
        <v>27</v>
      </c>
      <c r="E32" s="106" t="s">
        <v>59</v>
      </c>
      <c r="F32" s="140"/>
      <c r="G32" s="120"/>
      <c r="H32" s="120"/>
      <c r="I32" s="121"/>
      <c r="J32" s="125">
        <f t="shared" si="0"/>
        <v>0</v>
      </c>
      <c r="K32" s="122"/>
      <c r="L32" s="162"/>
      <c r="M32" s="120"/>
      <c r="N32" s="120"/>
      <c r="O32" s="120"/>
      <c r="P32" s="116">
        <f t="shared" si="1"/>
        <v>0</v>
      </c>
      <c r="Q32" s="120"/>
      <c r="R32" s="140"/>
      <c r="S32" s="130"/>
      <c r="T32" s="161">
        <v>3</v>
      </c>
      <c r="U32" s="298"/>
      <c r="V32" s="120"/>
      <c r="W32" s="117"/>
      <c r="X32" s="117">
        <f t="shared" si="2"/>
        <v>3</v>
      </c>
      <c r="Y32" s="97" t="s">
        <v>793</v>
      </c>
    </row>
    <row r="33" spans="1:25" ht="50.25" customHeight="1">
      <c r="A33" s="469"/>
      <c r="B33" s="469"/>
      <c r="C33" s="469"/>
      <c r="D33" s="106">
        <v>28</v>
      </c>
      <c r="E33" s="106" t="s">
        <v>30</v>
      </c>
      <c r="F33" s="140"/>
      <c r="G33" s="120"/>
      <c r="H33" s="120"/>
      <c r="I33" s="120"/>
      <c r="J33" s="116">
        <f t="shared" si="0"/>
        <v>0</v>
      </c>
      <c r="K33" s="120"/>
      <c r="L33" s="140"/>
      <c r="M33" s="120"/>
      <c r="N33" s="120"/>
      <c r="O33" s="122">
        <v>4.5750000000000002</v>
      </c>
      <c r="P33" s="117">
        <f t="shared" si="1"/>
        <v>4.5750000000000002</v>
      </c>
      <c r="Q33" s="97"/>
      <c r="R33" s="162">
        <v>4.5750000000000002</v>
      </c>
      <c r="S33" s="97"/>
      <c r="T33" s="140"/>
      <c r="U33" s="120"/>
      <c r="V33" s="120"/>
      <c r="W33" s="117"/>
      <c r="X33" s="117">
        <f t="shared" si="2"/>
        <v>9.15</v>
      </c>
      <c r="Y33" s="135" t="s">
        <v>741</v>
      </c>
    </row>
    <row r="34" spans="1:25" ht="48" customHeight="1">
      <c r="A34" s="469"/>
      <c r="B34" s="469"/>
      <c r="C34" s="469"/>
      <c r="D34" s="106">
        <v>29</v>
      </c>
      <c r="E34" s="106" t="s">
        <v>31</v>
      </c>
      <c r="F34" s="140"/>
      <c r="G34" s="120"/>
      <c r="H34" s="120"/>
      <c r="I34" s="120"/>
      <c r="J34" s="116">
        <f t="shared" si="0"/>
        <v>0</v>
      </c>
      <c r="K34" s="120"/>
      <c r="L34" s="140"/>
      <c r="M34" s="120"/>
      <c r="N34" s="120"/>
      <c r="O34" s="120"/>
      <c r="P34" s="116">
        <f t="shared" si="1"/>
        <v>0</v>
      </c>
      <c r="Q34" s="120"/>
      <c r="R34" s="140"/>
      <c r="S34" s="122"/>
      <c r="T34" s="162">
        <v>16.012499999999999</v>
      </c>
      <c r="U34" s="97"/>
      <c r="V34" s="120"/>
      <c r="W34" s="117"/>
      <c r="X34" s="117">
        <f t="shared" si="2"/>
        <v>16.012499999999999</v>
      </c>
      <c r="Y34" s="135" t="s">
        <v>742</v>
      </c>
    </row>
    <row r="35" spans="1:25" ht="47.25">
      <c r="A35" s="469"/>
      <c r="B35" s="469"/>
      <c r="C35" s="469"/>
      <c r="D35" s="106">
        <v>30</v>
      </c>
      <c r="E35" s="106" t="s">
        <v>60</v>
      </c>
      <c r="F35" s="140"/>
      <c r="G35" s="120"/>
      <c r="H35" s="120"/>
      <c r="I35" s="120"/>
      <c r="J35" s="116">
        <f t="shared" si="0"/>
        <v>0</v>
      </c>
      <c r="K35" s="122"/>
      <c r="L35" s="162"/>
      <c r="M35" s="120"/>
      <c r="N35" s="120"/>
      <c r="O35" s="120"/>
      <c r="P35" s="116">
        <f t="shared" si="1"/>
        <v>0</v>
      </c>
      <c r="Q35" s="120"/>
      <c r="R35" s="140"/>
      <c r="S35" s="120"/>
      <c r="T35" s="140"/>
      <c r="U35" s="120"/>
      <c r="V35" s="120"/>
      <c r="W35" s="117"/>
      <c r="X35" s="117">
        <f t="shared" si="2"/>
        <v>0</v>
      </c>
      <c r="Y35" s="97"/>
    </row>
    <row r="36" spans="1:25" ht="47.25" hidden="1">
      <c r="A36" s="469"/>
      <c r="B36" s="469"/>
      <c r="C36" s="469"/>
      <c r="D36" s="106">
        <v>31</v>
      </c>
      <c r="E36" s="106" t="s">
        <v>44</v>
      </c>
      <c r="F36" s="140"/>
      <c r="G36" s="120"/>
      <c r="H36" s="120"/>
      <c r="I36" s="120"/>
      <c r="J36" s="116">
        <f t="shared" si="0"/>
        <v>0</v>
      </c>
      <c r="K36" s="120"/>
      <c r="L36" s="140"/>
      <c r="M36" s="120"/>
      <c r="N36" s="120"/>
      <c r="O36" s="120"/>
      <c r="P36" s="116">
        <f t="shared" si="1"/>
        <v>0</v>
      </c>
      <c r="Q36" s="120"/>
      <c r="R36" s="140"/>
      <c r="S36" s="120"/>
      <c r="T36" s="140"/>
      <c r="U36" s="120"/>
      <c r="V36" s="120"/>
      <c r="W36" s="117"/>
      <c r="X36" s="117">
        <f t="shared" si="2"/>
        <v>0</v>
      </c>
      <c r="Y36" s="97"/>
    </row>
    <row r="37" spans="1:25" ht="393.75">
      <c r="A37" s="469"/>
      <c r="B37" s="476" t="s">
        <v>61</v>
      </c>
      <c r="C37" s="476" t="s">
        <v>62</v>
      </c>
      <c r="D37" s="106">
        <v>32</v>
      </c>
      <c r="E37" s="106" t="s">
        <v>63</v>
      </c>
      <c r="F37" s="140"/>
      <c r="G37" s="120"/>
      <c r="H37" s="120"/>
      <c r="I37" s="120"/>
      <c r="J37" s="116">
        <f t="shared" si="0"/>
        <v>0</v>
      </c>
      <c r="K37" s="122"/>
      <c r="L37" s="162"/>
      <c r="M37" s="120"/>
      <c r="N37" s="120"/>
      <c r="O37" s="120"/>
      <c r="P37" s="116">
        <f t="shared" si="1"/>
        <v>0</v>
      </c>
      <c r="Q37" s="122"/>
      <c r="R37" s="162"/>
      <c r="S37" s="121"/>
      <c r="T37" s="161">
        <v>12.225899999999999</v>
      </c>
      <c r="U37" s="122"/>
      <c r="V37" s="122"/>
      <c r="W37" s="117"/>
      <c r="X37" s="117">
        <f t="shared" si="2"/>
        <v>12.225899999999999</v>
      </c>
      <c r="Y37" s="97" t="s">
        <v>1166</v>
      </c>
    </row>
    <row r="38" spans="1:25" ht="35.25" customHeight="1">
      <c r="A38" s="469"/>
      <c r="B38" s="469"/>
      <c r="C38" s="469"/>
      <c r="D38" s="106">
        <v>33</v>
      </c>
      <c r="E38" s="106" t="s">
        <v>64</v>
      </c>
      <c r="F38" s="140"/>
      <c r="G38" s="116"/>
      <c r="H38" s="116"/>
      <c r="I38" s="116"/>
      <c r="J38" s="116">
        <f t="shared" si="0"/>
        <v>0</v>
      </c>
      <c r="K38" s="116"/>
      <c r="L38" s="140"/>
      <c r="M38" s="116"/>
      <c r="N38" s="116"/>
      <c r="O38" s="116"/>
      <c r="P38" s="116">
        <f t="shared" si="1"/>
        <v>0</v>
      </c>
      <c r="Q38" s="116"/>
      <c r="R38" s="140"/>
      <c r="S38" s="116"/>
      <c r="T38" s="140"/>
      <c r="U38" s="116"/>
      <c r="V38" s="116"/>
      <c r="W38" s="117"/>
      <c r="X38" s="117">
        <f t="shared" si="2"/>
        <v>0</v>
      </c>
      <c r="Y38" s="97"/>
    </row>
    <row r="39" spans="1:25" ht="39.75" customHeight="1">
      <c r="A39" s="469"/>
      <c r="B39" s="469"/>
      <c r="C39" s="469"/>
      <c r="D39" s="106">
        <v>34</v>
      </c>
      <c r="E39" s="106" t="s">
        <v>65</v>
      </c>
      <c r="F39" s="140"/>
      <c r="G39" s="116"/>
      <c r="H39" s="116"/>
      <c r="I39" s="116"/>
      <c r="J39" s="116">
        <f t="shared" si="0"/>
        <v>0</v>
      </c>
      <c r="K39" s="116"/>
      <c r="L39" s="140"/>
      <c r="M39" s="116"/>
      <c r="N39" s="116"/>
      <c r="O39" s="116"/>
      <c r="P39" s="116">
        <f t="shared" si="1"/>
        <v>0</v>
      </c>
      <c r="Q39" s="116"/>
      <c r="R39" s="140"/>
      <c r="S39" s="125"/>
      <c r="T39" s="161"/>
      <c r="U39" s="116"/>
      <c r="V39" s="116"/>
      <c r="W39" s="117"/>
      <c r="X39" s="117">
        <f t="shared" si="2"/>
        <v>0</v>
      </c>
      <c r="Y39" s="97"/>
    </row>
    <row r="40" spans="1:25" ht="173.25">
      <c r="A40" s="469"/>
      <c r="B40" s="476" t="s">
        <v>66</v>
      </c>
      <c r="C40" s="476" t="s">
        <v>67</v>
      </c>
      <c r="D40" s="106">
        <v>35</v>
      </c>
      <c r="E40" s="143" t="s">
        <v>68</v>
      </c>
      <c r="F40" s="140"/>
      <c r="G40" s="116"/>
      <c r="H40" s="116"/>
      <c r="I40" s="116"/>
      <c r="J40" s="116">
        <f t="shared" si="0"/>
        <v>0</v>
      </c>
      <c r="K40" s="117"/>
      <c r="L40" s="162"/>
      <c r="M40" s="116"/>
      <c r="N40" s="116"/>
      <c r="O40" s="116"/>
      <c r="P40" s="116">
        <f t="shared" si="1"/>
        <v>0</v>
      </c>
      <c r="Q40" s="116"/>
      <c r="R40" s="140"/>
      <c r="S40" s="125"/>
      <c r="T40" s="161">
        <f>0.48+0.77+0.12</f>
        <v>1.37</v>
      </c>
      <c r="U40" s="116"/>
      <c r="V40" s="116"/>
      <c r="W40" s="117"/>
      <c r="X40" s="117">
        <f t="shared" si="2"/>
        <v>1.37</v>
      </c>
      <c r="Y40" s="97" t="s">
        <v>359</v>
      </c>
    </row>
    <row r="41" spans="1:25" ht="63">
      <c r="A41" s="469"/>
      <c r="B41" s="469"/>
      <c r="C41" s="469"/>
      <c r="D41" s="106">
        <v>36</v>
      </c>
      <c r="E41" s="223" t="s">
        <v>70</v>
      </c>
      <c r="F41" s="140"/>
      <c r="G41" s="116"/>
      <c r="H41" s="116"/>
      <c r="I41" s="116"/>
      <c r="J41" s="116">
        <f t="shared" si="0"/>
        <v>0</v>
      </c>
      <c r="K41" s="116"/>
      <c r="L41" s="140"/>
      <c r="M41" s="116"/>
      <c r="N41" s="116"/>
      <c r="O41" s="117"/>
      <c r="P41" s="117">
        <f t="shared" si="1"/>
        <v>0</v>
      </c>
      <c r="Q41" s="116"/>
      <c r="R41" s="140"/>
      <c r="S41" s="116"/>
      <c r="T41" s="140"/>
      <c r="U41" s="116"/>
      <c r="V41" s="116"/>
      <c r="W41" s="117"/>
      <c r="X41" s="117">
        <f t="shared" si="2"/>
        <v>0</v>
      </c>
      <c r="Y41" s="97"/>
    </row>
    <row r="42" spans="1:25" ht="47.25">
      <c r="A42" s="469"/>
      <c r="B42" s="469"/>
      <c r="C42" s="469"/>
      <c r="D42" s="106">
        <v>37</v>
      </c>
      <c r="E42" s="106" t="s">
        <v>71</v>
      </c>
      <c r="F42" s="140"/>
      <c r="G42" s="116"/>
      <c r="H42" s="116"/>
      <c r="I42" s="116"/>
      <c r="J42" s="116">
        <f t="shared" si="0"/>
        <v>0</v>
      </c>
      <c r="K42" s="116"/>
      <c r="L42" s="140"/>
      <c r="M42" s="116"/>
      <c r="N42" s="116"/>
      <c r="O42" s="117"/>
      <c r="P42" s="117">
        <f t="shared" si="1"/>
        <v>0</v>
      </c>
      <c r="Q42" s="116"/>
      <c r="R42" s="140"/>
      <c r="S42" s="116"/>
      <c r="T42" s="140"/>
      <c r="U42" s="116"/>
      <c r="V42" s="116"/>
      <c r="W42" s="117"/>
      <c r="X42" s="117">
        <f t="shared" si="2"/>
        <v>0</v>
      </c>
      <c r="Y42" s="97"/>
    </row>
    <row r="43" spans="1:25" ht="110.25">
      <c r="A43" s="469"/>
      <c r="B43" s="469"/>
      <c r="C43" s="469"/>
      <c r="D43" s="106">
        <v>38</v>
      </c>
      <c r="E43" s="139" t="s">
        <v>72</v>
      </c>
      <c r="F43" s="140"/>
      <c r="G43" s="116"/>
      <c r="H43" s="116"/>
      <c r="I43" s="116"/>
      <c r="J43" s="116">
        <f t="shared" si="0"/>
        <v>0</v>
      </c>
      <c r="K43" s="116"/>
      <c r="L43" s="140"/>
      <c r="M43" s="116"/>
      <c r="N43" s="116"/>
      <c r="O43" s="116"/>
      <c r="P43" s="116">
        <f t="shared" si="1"/>
        <v>0</v>
      </c>
      <c r="Q43" s="116"/>
      <c r="R43" s="140"/>
      <c r="S43" s="125"/>
      <c r="T43" s="161">
        <f>1.2+0.4</f>
        <v>1.6</v>
      </c>
      <c r="U43" s="116"/>
      <c r="V43" s="116"/>
      <c r="W43" s="117"/>
      <c r="X43" s="117">
        <f t="shared" si="2"/>
        <v>1.6</v>
      </c>
      <c r="Y43" s="97" t="s">
        <v>360</v>
      </c>
    </row>
    <row r="44" spans="1:25" ht="78.75">
      <c r="A44" s="469"/>
      <c r="B44" s="469"/>
      <c r="C44" s="469"/>
      <c r="D44" s="106">
        <v>39</v>
      </c>
      <c r="E44" s="106" t="s">
        <v>74</v>
      </c>
      <c r="F44" s="140"/>
      <c r="G44" s="116"/>
      <c r="H44" s="116"/>
      <c r="I44" s="116"/>
      <c r="J44" s="116">
        <f t="shared" si="0"/>
        <v>0</v>
      </c>
      <c r="K44" s="116"/>
      <c r="L44" s="140"/>
      <c r="M44" s="116"/>
      <c r="N44" s="116"/>
      <c r="O44" s="116"/>
      <c r="P44" s="116">
        <f t="shared" si="1"/>
        <v>0</v>
      </c>
      <c r="Q44" s="116"/>
      <c r="R44" s="140"/>
      <c r="S44" s="125"/>
      <c r="T44" s="161"/>
      <c r="U44" s="116"/>
      <c r="V44" s="116"/>
      <c r="W44" s="117"/>
      <c r="X44" s="117">
        <f t="shared" si="2"/>
        <v>0</v>
      </c>
      <c r="Y44" s="97"/>
    </row>
    <row r="45" spans="1:25" ht="78.75">
      <c r="A45" s="469"/>
      <c r="B45" s="469"/>
      <c r="C45" s="469"/>
      <c r="D45" s="106">
        <v>40</v>
      </c>
      <c r="E45" s="106" t="s">
        <v>75</v>
      </c>
      <c r="F45" s="140">
        <v>0</v>
      </c>
      <c r="G45" s="116"/>
      <c r="H45" s="116"/>
      <c r="I45" s="116"/>
      <c r="J45" s="116">
        <f t="shared" si="0"/>
        <v>0</v>
      </c>
      <c r="K45" s="116"/>
      <c r="L45" s="140"/>
      <c r="M45" s="116"/>
      <c r="N45" s="116"/>
      <c r="O45" s="116"/>
      <c r="P45" s="116">
        <f t="shared" si="1"/>
        <v>0</v>
      </c>
      <c r="Q45" s="116"/>
      <c r="R45" s="140"/>
      <c r="S45" s="125"/>
      <c r="T45" s="125">
        <f>(500*16*15)/100000</f>
        <v>1.2</v>
      </c>
      <c r="U45" s="116"/>
      <c r="V45" s="116"/>
      <c r="W45" s="117"/>
      <c r="X45" s="117">
        <f t="shared" si="2"/>
        <v>1.2</v>
      </c>
      <c r="Y45" s="97" t="s">
        <v>572</v>
      </c>
    </row>
    <row r="46" spans="1:25" ht="47.25">
      <c r="A46" s="469"/>
      <c r="B46" s="469"/>
      <c r="C46" s="469"/>
      <c r="D46" s="106">
        <v>41</v>
      </c>
      <c r="E46" s="106" t="s">
        <v>44</v>
      </c>
      <c r="F46" s="140"/>
      <c r="G46" s="116"/>
      <c r="H46" s="116"/>
      <c r="I46" s="116"/>
      <c r="J46" s="116">
        <f t="shared" si="0"/>
        <v>0</v>
      </c>
      <c r="K46" s="116"/>
      <c r="L46" s="140"/>
      <c r="M46" s="116"/>
      <c r="N46" s="116"/>
      <c r="O46" s="116"/>
      <c r="P46" s="116">
        <f t="shared" si="1"/>
        <v>0</v>
      </c>
      <c r="Q46" s="116"/>
      <c r="R46" s="140"/>
      <c r="S46" s="116"/>
      <c r="T46" s="140"/>
      <c r="U46" s="116"/>
      <c r="V46" s="116"/>
      <c r="W46" s="117"/>
      <c r="X46" s="117">
        <f t="shared" si="2"/>
        <v>0</v>
      </c>
      <c r="Y46" s="97"/>
    </row>
    <row r="47" spans="1:25" ht="47.25">
      <c r="A47" s="469"/>
      <c r="B47" s="476" t="s">
        <v>76</v>
      </c>
      <c r="C47" s="476" t="s">
        <v>77</v>
      </c>
      <c r="D47" s="106">
        <v>42</v>
      </c>
      <c r="E47" s="106" t="s">
        <v>78</v>
      </c>
      <c r="F47" s="161">
        <v>7.4044999999999996</v>
      </c>
      <c r="G47" s="120"/>
      <c r="H47" s="120"/>
      <c r="I47" s="120"/>
      <c r="J47" s="116">
        <f t="shared" si="0"/>
        <v>0</v>
      </c>
      <c r="K47" s="122"/>
      <c r="L47" s="162"/>
      <c r="M47" s="120"/>
      <c r="N47" s="120"/>
      <c r="O47" s="120"/>
      <c r="P47" s="116">
        <f t="shared" si="1"/>
        <v>0</v>
      </c>
      <c r="Q47" s="120"/>
      <c r="R47" s="140"/>
      <c r="S47" s="121"/>
      <c r="T47" s="161"/>
      <c r="U47" s="120"/>
      <c r="V47" s="120"/>
      <c r="W47" s="117"/>
      <c r="X47" s="117">
        <f t="shared" si="2"/>
        <v>7.4044999999999996</v>
      </c>
      <c r="Y47" s="97" t="s">
        <v>937</v>
      </c>
    </row>
    <row r="48" spans="1:25" ht="31.5">
      <c r="A48" s="469"/>
      <c r="B48" s="469"/>
      <c r="C48" s="469"/>
      <c r="D48" s="106">
        <v>43</v>
      </c>
      <c r="E48" s="106" t="s">
        <v>79</v>
      </c>
      <c r="F48" s="161">
        <v>0.75</v>
      </c>
      <c r="G48" s="120"/>
      <c r="H48" s="120"/>
      <c r="I48" s="120"/>
      <c r="J48" s="116">
        <f t="shared" si="0"/>
        <v>0</v>
      </c>
      <c r="K48" s="122"/>
      <c r="L48" s="162"/>
      <c r="M48" s="120"/>
      <c r="N48" s="120"/>
      <c r="O48" s="120"/>
      <c r="P48" s="116">
        <f t="shared" si="1"/>
        <v>0</v>
      </c>
      <c r="Q48" s="120"/>
      <c r="R48" s="140"/>
      <c r="S48" s="121"/>
      <c r="T48" s="161"/>
      <c r="U48" s="120"/>
      <c r="V48" s="120"/>
      <c r="W48" s="117"/>
      <c r="X48" s="117">
        <f t="shared" si="2"/>
        <v>0.75</v>
      </c>
      <c r="Y48" s="97" t="s">
        <v>938</v>
      </c>
    </row>
    <row r="49" spans="1:25" ht="63">
      <c r="A49" s="469"/>
      <c r="B49" s="469"/>
      <c r="C49" s="469"/>
      <c r="D49" s="106">
        <v>44</v>
      </c>
      <c r="E49" s="106" t="s">
        <v>80</v>
      </c>
      <c r="F49" s="161">
        <v>2.2050000000000001</v>
      </c>
      <c r="G49" s="120"/>
      <c r="H49" s="120"/>
      <c r="I49" s="120"/>
      <c r="J49" s="116">
        <f t="shared" si="0"/>
        <v>0</v>
      </c>
      <c r="K49" s="122"/>
      <c r="L49" s="162"/>
      <c r="M49" s="120"/>
      <c r="N49" s="120"/>
      <c r="O49" s="120"/>
      <c r="P49" s="116">
        <f t="shared" si="1"/>
        <v>0</v>
      </c>
      <c r="Q49" s="120"/>
      <c r="R49" s="140"/>
      <c r="S49" s="121"/>
      <c r="T49" s="161"/>
      <c r="U49" s="120"/>
      <c r="V49" s="120"/>
      <c r="W49" s="117"/>
      <c r="X49" s="117">
        <f t="shared" si="2"/>
        <v>2.2050000000000001</v>
      </c>
      <c r="Y49" s="97" t="s">
        <v>890</v>
      </c>
    </row>
    <row r="50" spans="1:25" ht="78.75">
      <c r="A50" s="469"/>
      <c r="B50" s="469"/>
      <c r="C50" s="469"/>
      <c r="D50" s="106">
        <v>45</v>
      </c>
      <c r="E50" s="106" t="s">
        <v>81</v>
      </c>
      <c r="F50" s="161">
        <v>0.23300000000000001</v>
      </c>
      <c r="G50" s="120"/>
      <c r="H50" s="120"/>
      <c r="I50" s="120"/>
      <c r="J50" s="116">
        <f t="shared" si="0"/>
        <v>0</v>
      </c>
      <c r="K50" s="120"/>
      <c r="L50" s="140"/>
      <c r="M50" s="120"/>
      <c r="N50" s="120"/>
      <c r="O50" s="120"/>
      <c r="P50" s="116">
        <f t="shared" si="1"/>
        <v>0</v>
      </c>
      <c r="Q50" s="120"/>
      <c r="R50" s="140"/>
      <c r="S50" s="120"/>
      <c r="T50" s="140"/>
      <c r="U50" s="120"/>
      <c r="V50" s="120"/>
      <c r="W50" s="117"/>
      <c r="X50" s="117">
        <f t="shared" si="2"/>
        <v>0.23300000000000001</v>
      </c>
      <c r="Y50" s="97" t="s">
        <v>891</v>
      </c>
    </row>
    <row r="51" spans="1:25" ht="31.5">
      <c r="A51" s="469"/>
      <c r="B51" s="469"/>
      <c r="C51" s="469"/>
      <c r="D51" s="106">
        <v>46</v>
      </c>
      <c r="E51" s="106" t="s">
        <v>82</v>
      </c>
      <c r="F51" s="140"/>
      <c r="G51" s="120"/>
      <c r="H51" s="120"/>
      <c r="I51" s="120"/>
      <c r="J51" s="116">
        <f t="shared" si="0"/>
        <v>0</v>
      </c>
      <c r="K51" s="120"/>
      <c r="L51" s="140"/>
      <c r="M51" s="120"/>
      <c r="N51" s="120"/>
      <c r="O51" s="120"/>
      <c r="P51" s="116">
        <f t="shared" si="1"/>
        <v>0</v>
      </c>
      <c r="Q51" s="120"/>
      <c r="R51" s="140"/>
      <c r="S51" s="120"/>
      <c r="T51" s="140"/>
      <c r="U51" s="120"/>
      <c r="V51" s="120"/>
      <c r="W51" s="117"/>
      <c r="X51" s="117">
        <f t="shared" si="2"/>
        <v>0</v>
      </c>
      <c r="Y51" s="97"/>
    </row>
    <row r="52" spans="1:25" ht="63">
      <c r="A52" s="469"/>
      <c r="B52" s="469"/>
      <c r="C52" s="469"/>
      <c r="D52" s="106">
        <v>47</v>
      </c>
      <c r="E52" s="106" t="s">
        <v>83</v>
      </c>
      <c r="F52" s="161"/>
      <c r="G52" s="120"/>
      <c r="H52" s="120"/>
      <c r="I52" s="120"/>
      <c r="J52" s="116">
        <f t="shared" si="0"/>
        <v>0</v>
      </c>
      <c r="K52" s="120"/>
      <c r="L52" s="140"/>
      <c r="M52" s="120"/>
      <c r="N52" s="120"/>
      <c r="O52" s="120"/>
      <c r="P52" s="116">
        <f t="shared" si="1"/>
        <v>0</v>
      </c>
      <c r="Q52" s="120"/>
      <c r="R52" s="140"/>
      <c r="S52" s="120"/>
      <c r="T52" s="140"/>
      <c r="U52" s="120"/>
      <c r="V52" s="120"/>
      <c r="W52" s="117"/>
      <c r="X52" s="117">
        <f t="shared" si="2"/>
        <v>0</v>
      </c>
      <c r="Y52" s="97"/>
    </row>
    <row r="53" spans="1:25" ht="15.75">
      <c r="A53" s="469"/>
      <c r="B53" s="469"/>
      <c r="C53" s="469"/>
      <c r="D53" s="106">
        <v>48</v>
      </c>
      <c r="E53" s="106" t="s">
        <v>84</v>
      </c>
      <c r="F53" s="140"/>
      <c r="G53" s="120"/>
      <c r="H53" s="120"/>
      <c r="I53" s="120"/>
      <c r="J53" s="116">
        <f t="shared" si="0"/>
        <v>0</v>
      </c>
      <c r="K53" s="120"/>
      <c r="L53" s="140"/>
      <c r="M53" s="120"/>
      <c r="N53" s="120"/>
      <c r="O53" s="120"/>
      <c r="P53" s="116">
        <f t="shared" si="1"/>
        <v>0</v>
      </c>
      <c r="Q53" s="120"/>
      <c r="R53" s="140"/>
      <c r="S53" s="121"/>
      <c r="T53" s="161"/>
      <c r="U53" s="120"/>
      <c r="V53" s="120"/>
      <c r="W53" s="117"/>
      <c r="X53" s="117">
        <f t="shared" si="2"/>
        <v>0</v>
      </c>
      <c r="Y53" s="97"/>
    </row>
    <row r="54" spans="1:25" ht="63">
      <c r="A54" s="469"/>
      <c r="B54" s="469"/>
      <c r="C54" s="469"/>
      <c r="D54" s="106">
        <v>49</v>
      </c>
      <c r="E54" s="106" t="s">
        <v>85</v>
      </c>
      <c r="F54" s="140"/>
      <c r="G54" s="120"/>
      <c r="H54" s="120"/>
      <c r="I54" s="120"/>
      <c r="J54" s="116">
        <f t="shared" si="0"/>
        <v>0</v>
      </c>
      <c r="K54" s="120"/>
      <c r="L54" s="140"/>
      <c r="M54" s="120"/>
      <c r="N54" s="120"/>
      <c r="O54" s="120"/>
      <c r="P54" s="116">
        <f t="shared" si="1"/>
        <v>0</v>
      </c>
      <c r="Q54" s="120"/>
      <c r="R54" s="140"/>
      <c r="S54" s="120"/>
      <c r="T54" s="140"/>
      <c r="U54" s="120"/>
      <c r="V54" s="120"/>
      <c r="W54" s="117"/>
      <c r="X54" s="117">
        <f t="shared" si="2"/>
        <v>0</v>
      </c>
      <c r="Y54" s="97"/>
    </row>
    <row r="55" spans="1:25" ht="47.25">
      <c r="A55" s="469"/>
      <c r="B55" s="469"/>
      <c r="C55" s="469"/>
      <c r="D55" s="106">
        <v>50</v>
      </c>
      <c r="E55" s="106" t="s">
        <v>86</v>
      </c>
      <c r="F55" s="140"/>
      <c r="G55" s="120"/>
      <c r="H55" s="120"/>
      <c r="I55" s="120"/>
      <c r="J55" s="116">
        <f t="shared" si="0"/>
        <v>0</v>
      </c>
      <c r="K55" s="122"/>
      <c r="L55" s="162"/>
      <c r="M55" s="120"/>
      <c r="N55" s="120"/>
      <c r="O55" s="120"/>
      <c r="P55" s="116">
        <f t="shared" si="1"/>
        <v>0</v>
      </c>
      <c r="Q55" s="120"/>
      <c r="R55" s="140"/>
      <c r="S55" s="121"/>
      <c r="T55" s="161"/>
      <c r="U55" s="120"/>
      <c r="V55" s="120"/>
      <c r="W55" s="117"/>
      <c r="X55" s="117">
        <f t="shared" si="2"/>
        <v>0</v>
      </c>
      <c r="Y55" s="97"/>
    </row>
    <row r="56" spans="1:25" ht="47.25" hidden="1">
      <c r="A56" s="469"/>
      <c r="B56" s="469"/>
      <c r="C56" s="469"/>
      <c r="D56" s="106">
        <v>51</v>
      </c>
      <c r="E56" s="106" t="s">
        <v>44</v>
      </c>
      <c r="F56" s="140"/>
      <c r="G56" s="120"/>
      <c r="H56" s="120"/>
      <c r="I56" s="120"/>
      <c r="J56" s="116">
        <f t="shared" si="0"/>
        <v>0</v>
      </c>
      <c r="K56" s="120"/>
      <c r="L56" s="140"/>
      <c r="M56" s="120"/>
      <c r="N56" s="120"/>
      <c r="O56" s="120"/>
      <c r="P56" s="116">
        <f t="shared" si="1"/>
        <v>0</v>
      </c>
      <c r="Q56" s="120"/>
      <c r="R56" s="140"/>
      <c r="S56" s="120"/>
      <c r="T56" s="140"/>
      <c r="U56" s="120"/>
      <c r="V56" s="120"/>
      <c r="W56" s="117"/>
      <c r="X56" s="117">
        <f t="shared" si="2"/>
        <v>0</v>
      </c>
      <c r="Y56" s="97"/>
    </row>
    <row r="57" spans="1:25" ht="31.5">
      <c r="A57" s="469"/>
      <c r="B57" s="476" t="s">
        <v>87</v>
      </c>
      <c r="C57" s="476" t="s">
        <v>88</v>
      </c>
      <c r="D57" s="106">
        <v>52</v>
      </c>
      <c r="E57" s="106" t="s">
        <v>89</v>
      </c>
      <c r="F57" s="140"/>
      <c r="G57" s="120"/>
      <c r="H57" s="120"/>
      <c r="I57" s="120"/>
      <c r="J57" s="116">
        <f t="shared" si="0"/>
        <v>0</v>
      </c>
      <c r="K57" s="122"/>
      <c r="L57" s="162"/>
      <c r="M57" s="120"/>
      <c r="N57" s="120"/>
      <c r="O57" s="122"/>
      <c r="P57" s="117">
        <f t="shared" si="1"/>
        <v>0</v>
      </c>
      <c r="Q57" s="120"/>
      <c r="R57" s="140"/>
      <c r="S57" s="120"/>
      <c r="T57" s="140"/>
      <c r="U57" s="120"/>
      <c r="V57" s="120"/>
      <c r="W57" s="117"/>
      <c r="X57" s="117">
        <f t="shared" si="2"/>
        <v>0</v>
      </c>
      <c r="Y57" s="97"/>
    </row>
    <row r="58" spans="1:25" ht="31.5">
      <c r="A58" s="469"/>
      <c r="B58" s="469"/>
      <c r="C58" s="469"/>
      <c r="D58" s="106">
        <v>53</v>
      </c>
      <c r="E58" s="106" t="s">
        <v>90</v>
      </c>
      <c r="F58" s="140"/>
      <c r="G58" s="120"/>
      <c r="H58" s="120"/>
      <c r="I58" s="120"/>
      <c r="J58" s="116">
        <f t="shared" si="0"/>
        <v>0</v>
      </c>
      <c r="K58" s="120"/>
      <c r="L58" s="140"/>
      <c r="M58" s="120"/>
      <c r="N58" s="120"/>
      <c r="O58" s="122"/>
      <c r="P58" s="117">
        <f t="shared" si="1"/>
        <v>0</v>
      </c>
      <c r="Q58" s="120"/>
      <c r="R58" s="140"/>
      <c r="S58" s="120"/>
      <c r="T58" s="140"/>
      <c r="U58" s="120"/>
      <c r="V58" s="120"/>
      <c r="W58" s="117"/>
      <c r="X58" s="117">
        <f t="shared" si="2"/>
        <v>0</v>
      </c>
      <c r="Y58" s="245"/>
    </row>
    <row r="59" spans="1:25" ht="173.25">
      <c r="A59" s="469"/>
      <c r="B59" s="469"/>
      <c r="C59" s="469"/>
      <c r="D59" s="106">
        <v>54</v>
      </c>
      <c r="E59" s="106" t="s">
        <v>91</v>
      </c>
      <c r="F59" s="140"/>
      <c r="G59" s="120"/>
      <c r="H59" s="120"/>
      <c r="I59" s="121"/>
      <c r="J59" s="125">
        <f t="shared" si="0"/>
        <v>0</v>
      </c>
      <c r="K59" s="120"/>
      <c r="L59" s="140"/>
      <c r="M59" s="120"/>
      <c r="N59" s="120"/>
      <c r="O59" s="120"/>
      <c r="P59" s="116">
        <f t="shared" si="1"/>
        <v>0</v>
      </c>
      <c r="Q59" s="120"/>
      <c r="R59" s="140"/>
      <c r="S59" s="121"/>
      <c r="T59" s="121">
        <v>1</v>
      </c>
      <c r="U59" s="115"/>
      <c r="V59" s="120"/>
      <c r="W59" s="117"/>
      <c r="X59" s="117">
        <f t="shared" si="2"/>
        <v>1</v>
      </c>
      <c r="Y59" s="97" t="s">
        <v>801</v>
      </c>
    </row>
    <row r="60" spans="1:25" ht="47.25">
      <c r="A60" s="469"/>
      <c r="B60" s="469"/>
      <c r="C60" s="469"/>
      <c r="D60" s="106">
        <v>55</v>
      </c>
      <c r="E60" s="106" t="s">
        <v>93</v>
      </c>
      <c r="F60" s="140"/>
      <c r="G60" s="120"/>
      <c r="H60" s="120"/>
      <c r="I60" s="120"/>
      <c r="J60" s="116">
        <f t="shared" si="0"/>
        <v>0</v>
      </c>
      <c r="K60" s="120"/>
      <c r="L60" s="140"/>
      <c r="M60" s="120"/>
      <c r="N60" s="120"/>
      <c r="O60" s="122"/>
      <c r="P60" s="117">
        <f t="shared" si="1"/>
        <v>0</v>
      </c>
      <c r="Q60" s="120"/>
      <c r="R60" s="140"/>
      <c r="S60" s="120"/>
      <c r="T60" s="140"/>
      <c r="U60" s="120"/>
      <c r="V60" s="120"/>
      <c r="W60" s="117"/>
      <c r="X60" s="117">
        <f t="shared" si="2"/>
        <v>0</v>
      </c>
      <c r="Y60" s="97"/>
    </row>
    <row r="61" spans="1:25" ht="47.25">
      <c r="A61" s="469"/>
      <c r="B61" s="469"/>
      <c r="C61" s="469"/>
      <c r="D61" s="106">
        <v>56</v>
      </c>
      <c r="E61" s="106" t="s">
        <v>94</v>
      </c>
      <c r="F61" s="140"/>
      <c r="G61" s="120"/>
      <c r="H61" s="120"/>
      <c r="I61" s="120"/>
      <c r="J61" s="116">
        <f t="shared" si="0"/>
        <v>0</v>
      </c>
      <c r="K61" s="120"/>
      <c r="L61" s="140"/>
      <c r="M61" s="120"/>
      <c r="N61" s="120"/>
      <c r="O61" s="120"/>
      <c r="P61" s="116">
        <f t="shared" si="1"/>
        <v>0</v>
      </c>
      <c r="Q61" s="120"/>
      <c r="R61" s="140"/>
      <c r="S61" s="120"/>
      <c r="T61" s="140"/>
      <c r="U61" s="120"/>
      <c r="V61" s="120"/>
      <c r="W61" s="117"/>
      <c r="X61" s="117">
        <f t="shared" si="2"/>
        <v>0</v>
      </c>
      <c r="Y61" s="97"/>
    </row>
    <row r="62" spans="1:25" ht="63">
      <c r="A62" s="469"/>
      <c r="B62" s="469"/>
      <c r="C62" s="469"/>
      <c r="D62" s="106">
        <v>57</v>
      </c>
      <c r="E62" s="106" t="s">
        <v>95</v>
      </c>
      <c r="F62" s="120"/>
      <c r="G62" s="120"/>
      <c r="H62" s="120"/>
      <c r="I62" s="121"/>
      <c r="J62" s="125">
        <f t="shared" si="0"/>
        <v>0</v>
      </c>
      <c r="K62" s="120"/>
      <c r="L62" s="120"/>
      <c r="M62" s="120"/>
      <c r="N62" s="120"/>
      <c r="O62" s="120"/>
      <c r="P62" s="116">
        <f t="shared" si="1"/>
        <v>0</v>
      </c>
      <c r="Q62" s="121"/>
      <c r="R62" s="121">
        <v>2</v>
      </c>
      <c r="S62" s="97"/>
      <c r="T62" s="120"/>
      <c r="U62" s="97"/>
      <c r="V62" s="120"/>
      <c r="W62" s="117"/>
      <c r="X62" s="117">
        <f t="shared" si="2"/>
        <v>2</v>
      </c>
      <c r="Y62" s="97" t="s">
        <v>361</v>
      </c>
    </row>
    <row r="63" spans="1:25" ht="63">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245"/>
    </row>
    <row r="64" spans="1:25" ht="31.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7"/>
    </row>
    <row r="65" spans="1:25" ht="47.2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7"/>
    </row>
    <row r="66" spans="1:25" ht="47.2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7"/>
    </row>
    <row r="67" spans="1:25" ht="126">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135"/>
    </row>
    <row r="68" spans="1:25" ht="15.75">
      <c r="A68" s="469"/>
      <c r="B68" s="478" t="s">
        <v>103</v>
      </c>
      <c r="C68" s="469"/>
      <c r="D68" s="469"/>
      <c r="E68" s="99"/>
      <c r="F68" s="102">
        <f t="shared" ref="F68:W68" si="3">SUM(F6:F67)</f>
        <v>55.223159999999993</v>
      </c>
      <c r="G68" s="102">
        <f t="shared" si="3"/>
        <v>0</v>
      </c>
      <c r="H68" s="102">
        <f t="shared" si="3"/>
        <v>0</v>
      </c>
      <c r="I68" s="102">
        <f t="shared" si="3"/>
        <v>0</v>
      </c>
      <c r="J68" s="102">
        <f t="shared" si="3"/>
        <v>0</v>
      </c>
      <c r="K68" s="102">
        <f t="shared" si="3"/>
        <v>0</v>
      </c>
      <c r="L68" s="102">
        <f t="shared" si="3"/>
        <v>1.9059999999999999</v>
      </c>
      <c r="M68" s="102">
        <f t="shared" si="3"/>
        <v>0</v>
      </c>
      <c r="N68" s="102">
        <f t="shared" si="3"/>
        <v>0</v>
      </c>
      <c r="O68" s="102">
        <f t="shared" si="3"/>
        <v>60.365500000000004</v>
      </c>
      <c r="P68" s="102">
        <f t="shared" si="3"/>
        <v>60.365500000000004</v>
      </c>
      <c r="Q68" s="102">
        <f t="shared" si="3"/>
        <v>0</v>
      </c>
      <c r="R68" s="102">
        <f t="shared" si="3"/>
        <v>52.49</v>
      </c>
      <c r="S68" s="102">
        <f t="shared" si="3"/>
        <v>0</v>
      </c>
      <c r="T68" s="102">
        <f t="shared" si="3"/>
        <v>323.47380000000004</v>
      </c>
      <c r="U68" s="102">
        <f t="shared" si="3"/>
        <v>0</v>
      </c>
      <c r="V68" s="102">
        <f t="shared" si="3"/>
        <v>0</v>
      </c>
      <c r="W68" s="102">
        <f t="shared" si="3"/>
        <v>0</v>
      </c>
      <c r="X68" s="102">
        <f t="shared" si="2"/>
        <v>493.45846000000006</v>
      </c>
      <c r="Y68" s="135"/>
    </row>
    <row r="69" spans="1:25" ht="81.75" customHeight="1">
      <c r="A69" s="477" t="s">
        <v>104</v>
      </c>
      <c r="B69" s="106" t="s">
        <v>105</v>
      </c>
      <c r="C69" s="106" t="s">
        <v>106</v>
      </c>
      <c r="D69" s="106">
        <v>63</v>
      </c>
      <c r="E69" s="106" t="s">
        <v>107</v>
      </c>
      <c r="F69" s="140"/>
      <c r="G69" s="120"/>
      <c r="H69" s="120"/>
      <c r="I69" s="140"/>
      <c r="J69" s="116">
        <f t="shared" ref="J69:J79" si="4">H69+I69</f>
        <v>0</v>
      </c>
      <c r="K69" s="120"/>
      <c r="L69" s="140"/>
      <c r="M69" s="120"/>
      <c r="N69" s="120"/>
      <c r="O69" s="140"/>
      <c r="P69" s="116">
        <f t="shared" ref="P69:P78" si="5">N69+O69</f>
        <v>0</v>
      </c>
      <c r="Q69" s="121"/>
      <c r="R69" s="161"/>
      <c r="S69" s="122"/>
      <c r="T69" s="162"/>
      <c r="U69" s="125"/>
      <c r="V69" s="125">
        <v>1.5</v>
      </c>
      <c r="W69" s="117"/>
      <c r="X69" s="117">
        <f t="shared" si="2"/>
        <v>1.5</v>
      </c>
      <c r="Y69" s="135" t="s">
        <v>962</v>
      </c>
    </row>
    <row r="70" spans="1:25" ht="204.75">
      <c r="A70" s="469"/>
      <c r="B70" s="476" t="s">
        <v>108</v>
      </c>
      <c r="C70" s="476" t="s">
        <v>109</v>
      </c>
      <c r="D70" s="106">
        <v>64</v>
      </c>
      <c r="E70" s="106" t="s">
        <v>110</v>
      </c>
      <c r="F70" s="140"/>
      <c r="G70" s="120"/>
      <c r="H70" s="120"/>
      <c r="I70" s="161"/>
      <c r="J70" s="125">
        <f t="shared" si="4"/>
        <v>0</v>
      </c>
      <c r="K70" s="122"/>
      <c r="L70" s="162">
        <v>0</v>
      </c>
      <c r="M70" s="120"/>
      <c r="N70" s="120"/>
      <c r="O70" s="162">
        <v>0.28999999999999998</v>
      </c>
      <c r="P70" s="117">
        <f t="shared" si="5"/>
        <v>0.28999999999999998</v>
      </c>
      <c r="Q70" s="166" t="s">
        <v>362</v>
      </c>
      <c r="R70" s="140">
        <v>0</v>
      </c>
      <c r="S70" s="122"/>
      <c r="T70" s="162">
        <v>0.9</v>
      </c>
      <c r="U70" s="137" t="s">
        <v>363</v>
      </c>
      <c r="V70" s="121">
        <v>0</v>
      </c>
      <c r="W70" s="117"/>
      <c r="X70" s="117">
        <f t="shared" si="2"/>
        <v>1.19</v>
      </c>
      <c r="Y70" s="135" t="s">
        <v>1051</v>
      </c>
    </row>
    <row r="71" spans="1:25" ht="29.25" customHeight="1">
      <c r="A71" s="469"/>
      <c r="B71" s="469"/>
      <c r="C71" s="469"/>
      <c r="D71" s="106">
        <v>65</v>
      </c>
      <c r="E71" s="106" t="s">
        <v>111</v>
      </c>
      <c r="F71" s="140"/>
      <c r="G71" s="120"/>
      <c r="H71" s="120"/>
      <c r="I71" s="140"/>
      <c r="J71" s="116">
        <f t="shared" si="4"/>
        <v>0</v>
      </c>
      <c r="K71" s="120"/>
      <c r="L71" s="140"/>
      <c r="M71" s="120"/>
      <c r="N71" s="120"/>
      <c r="O71" s="140"/>
      <c r="P71" s="116">
        <f t="shared" si="5"/>
        <v>0</v>
      </c>
      <c r="Q71" s="120"/>
      <c r="R71" s="140"/>
      <c r="S71" s="121"/>
      <c r="T71" s="161">
        <v>0.25</v>
      </c>
      <c r="U71" s="121"/>
      <c r="V71" s="121"/>
      <c r="W71" s="117"/>
      <c r="X71" s="117">
        <f t="shared" si="2"/>
        <v>0.25</v>
      </c>
      <c r="Y71" s="135" t="s">
        <v>1052</v>
      </c>
    </row>
    <row r="72" spans="1:25" ht="126">
      <c r="A72" s="469"/>
      <c r="B72" s="469"/>
      <c r="C72" s="469"/>
      <c r="D72" s="106">
        <v>66</v>
      </c>
      <c r="E72" s="106" t="s">
        <v>112</v>
      </c>
      <c r="F72" s="140"/>
      <c r="G72" s="120"/>
      <c r="H72" s="120"/>
      <c r="I72" s="140"/>
      <c r="J72" s="116">
        <f t="shared" si="4"/>
        <v>0</v>
      </c>
      <c r="K72" s="120"/>
      <c r="L72" s="140"/>
      <c r="M72" s="120"/>
      <c r="N72" s="120"/>
      <c r="O72" s="162"/>
      <c r="P72" s="117">
        <f t="shared" si="5"/>
        <v>0</v>
      </c>
      <c r="Q72" s="120"/>
      <c r="R72" s="140"/>
      <c r="S72" s="121"/>
      <c r="T72" s="161">
        <v>0.09</v>
      </c>
      <c r="U72" s="120"/>
      <c r="V72" s="120"/>
      <c r="W72" s="117"/>
      <c r="X72" s="117">
        <f t="shared" si="2"/>
        <v>0.09</v>
      </c>
      <c r="Y72" s="135" t="s">
        <v>1053</v>
      </c>
    </row>
    <row r="73" spans="1:25" ht="189">
      <c r="A73" s="469"/>
      <c r="B73" s="469"/>
      <c r="C73" s="469"/>
      <c r="D73" s="106">
        <v>67</v>
      </c>
      <c r="E73" s="106" t="s">
        <v>113</v>
      </c>
      <c r="F73" s="140"/>
      <c r="G73" s="120"/>
      <c r="H73" s="120"/>
      <c r="I73" s="140"/>
      <c r="J73" s="116">
        <f t="shared" si="4"/>
        <v>0</v>
      </c>
      <c r="K73" s="120"/>
      <c r="L73" s="140"/>
      <c r="M73" s="120"/>
      <c r="N73" s="120"/>
      <c r="O73" s="162"/>
      <c r="P73" s="117">
        <f t="shared" si="5"/>
        <v>0</v>
      </c>
      <c r="Q73" s="120"/>
      <c r="R73" s="140"/>
      <c r="S73" s="121"/>
      <c r="T73" s="161">
        <v>29.95</v>
      </c>
      <c r="U73" s="121"/>
      <c r="V73" s="121">
        <v>1</v>
      </c>
      <c r="W73" s="117"/>
      <c r="X73" s="117">
        <f t="shared" si="2"/>
        <v>30.95</v>
      </c>
      <c r="Y73" s="135" t="s">
        <v>1060</v>
      </c>
    </row>
    <row r="74" spans="1:25" ht="110.25">
      <c r="A74" s="469"/>
      <c r="B74" s="469"/>
      <c r="C74" s="469"/>
      <c r="D74" s="106">
        <v>68</v>
      </c>
      <c r="E74" s="106" t="s">
        <v>114</v>
      </c>
      <c r="F74" s="161"/>
      <c r="G74" s="120"/>
      <c r="H74" s="120"/>
      <c r="I74" s="140"/>
      <c r="J74" s="116">
        <f t="shared" si="4"/>
        <v>0</v>
      </c>
      <c r="K74" s="122"/>
      <c r="L74" s="162"/>
      <c r="M74" s="120"/>
      <c r="N74" s="120"/>
      <c r="O74" s="162"/>
      <c r="P74" s="117">
        <f t="shared" si="5"/>
        <v>0</v>
      </c>
      <c r="Q74" s="120"/>
      <c r="R74" s="140"/>
      <c r="S74" s="121"/>
      <c r="T74" s="161">
        <v>1.74</v>
      </c>
      <c r="U74" s="121"/>
      <c r="V74" s="121">
        <v>0.7</v>
      </c>
      <c r="W74" s="117"/>
      <c r="X74" s="117">
        <f t="shared" si="2"/>
        <v>2.44</v>
      </c>
      <c r="Y74" s="135" t="s">
        <v>1055</v>
      </c>
    </row>
    <row r="75" spans="1:25" ht="409.5">
      <c r="A75" s="469"/>
      <c r="B75" s="476" t="s">
        <v>115</v>
      </c>
      <c r="C75" s="476" t="s">
        <v>116</v>
      </c>
      <c r="D75" s="106">
        <v>69</v>
      </c>
      <c r="E75" s="106" t="s">
        <v>117</v>
      </c>
      <c r="F75" s="139"/>
      <c r="G75" s="138"/>
      <c r="H75" s="138"/>
      <c r="I75" s="139"/>
      <c r="J75" s="116">
        <f t="shared" si="4"/>
        <v>0</v>
      </c>
      <c r="K75" s="138"/>
      <c r="L75" s="139"/>
      <c r="M75" s="138"/>
      <c r="N75" s="138"/>
      <c r="O75" s="139"/>
      <c r="P75" s="116">
        <f t="shared" si="5"/>
        <v>0</v>
      </c>
      <c r="Q75" s="140"/>
      <c r="R75" s="260">
        <v>0.2</v>
      </c>
      <c r="S75" s="260"/>
      <c r="T75" s="260">
        <f>1.2+30.74+1.537+0.68+0.461+0.154+0.85+1</f>
        <v>36.622</v>
      </c>
      <c r="U75" s="138"/>
      <c r="V75" s="138"/>
      <c r="W75" s="117"/>
      <c r="X75" s="117">
        <f t="shared" si="2"/>
        <v>36.822000000000003</v>
      </c>
      <c r="Y75" s="224" t="s">
        <v>1042</v>
      </c>
    </row>
    <row r="76" spans="1:25" ht="220.5">
      <c r="A76" s="469"/>
      <c r="B76" s="469"/>
      <c r="C76" s="469"/>
      <c r="D76" s="106">
        <v>70</v>
      </c>
      <c r="E76" s="106" t="s">
        <v>118</v>
      </c>
      <c r="F76" s="140"/>
      <c r="G76" s="138"/>
      <c r="H76" s="138"/>
      <c r="I76" s="139"/>
      <c r="J76" s="116">
        <f t="shared" si="4"/>
        <v>0</v>
      </c>
      <c r="K76" s="142"/>
      <c r="L76" s="142">
        <v>0.11</v>
      </c>
      <c r="M76" s="138"/>
      <c r="N76" s="138"/>
      <c r="O76" s="139"/>
      <c r="P76" s="116">
        <f t="shared" si="5"/>
        <v>0</v>
      </c>
      <c r="Q76" s="138"/>
      <c r="R76" s="140"/>
      <c r="S76" s="140"/>
      <c r="T76" s="140">
        <v>1.1000000000000001</v>
      </c>
      <c r="U76" s="138"/>
      <c r="V76" s="138"/>
      <c r="W76" s="117"/>
      <c r="X76" s="117">
        <f t="shared" si="2"/>
        <v>1.2100000000000002</v>
      </c>
      <c r="Y76" s="224" t="s">
        <v>917</v>
      </c>
    </row>
    <row r="77" spans="1:25" ht="15.75">
      <c r="A77" s="469"/>
      <c r="B77" s="469"/>
      <c r="C77" s="469"/>
      <c r="D77" s="106">
        <v>71</v>
      </c>
      <c r="E77" s="106" t="s">
        <v>119</v>
      </c>
      <c r="F77" s="139"/>
      <c r="G77" s="138"/>
      <c r="H77" s="138"/>
      <c r="I77" s="139"/>
      <c r="J77" s="116">
        <f t="shared" si="4"/>
        <v>0</v>
      </c>
      <c r="K77" s="138"/>
      <c r="L77" s="139"/>
      <c r="M77" s="138"/>
      <c r="N77" s="138"/>
      <c r="O77" s="139"/>
      <c r="P77" s="116">
        <f t="shared" si="5"/>
        <v>0</v>
      </c>
      <c r="Q77" s="138"/>
      <c r="R77" s="139"/>
      <c r="S77" s="138"/>
      <c r="T77" s="139"/>
      <c r="U77" s="138"/>
      <c r="V77" s="138"/>
      <c r="W77" s="117"/>
      <c r="X77" s="117">
        <f t="shared" si="2"/>
        <v>0</v>
      </c>
      <c r="Y77" s="135"/>
    </row>
    <row r="78" spans="1:25" ht="31.5">
      <c r="A78" s="469"/>
      <c r="B78" s="469"/>
      <c r="C78" s="469"/>
      <c r="D78" s="106">
        <v>72</v>
      </c>
      <c r="E78" s="106" t="s">
        <v>120</v>
      </c>
      <c r="F78" s="139"/>
      <c r="G78" s="138"/>
      <c r="H78" s="138"/>
      <c r="I78" s="139"/>
      <c r="J78" s="116">
        <f t="shared" si="4"/>
        <v>0</v>
      </c>
      <c r="K78" s="143"/>
      <c r="L78" s="138"/>
      <c r="M78" s="143"/>
      <c r="N78" s="143"/>
      <c r="O78" s="341"/>
      <c r="P78" s="145">
        <f t="shared" si="5"/>
        <v>0</v>
      </c>
      <c r="Q78" s="146"/>
      <c r="R78" s="342"/>
      <c r="S78" s="125"/>
      <c r="T78" s="161"/>
      <c r="U78" s="143"/>
      <c r="V78" s="143"/>
      <c r="W78" s="117"/>
      <c r="X78" s="117">
        <f t="shared" si="2"/>
        <v>0</v>
      </c>
      <c r="Y78" s="135"/>
    </row>
    <row r="79" spans="1:25" ht="409.5">
      <c r="A79" s="469"/>
      <c r="B79" s="476" t="s">
        <v>121</v>
      </c>
      <c r="C79" s="476" t="s">
        <v>122</v>
      </c>
      <c r="D79" s="106">
        <v>73</v>
      </c>
      <c r="E79" s="106" t="s">
        <v>123</v>
      </c>
      <c r="F79" s="147">
        <v>2.7</v>
      </c>
      <c r="G79" s="147"/>
      <c r="H79" s="147"/>
      <c r="I79" s="147">
        <v>0.4</v>
      </c>
      <c r="J79" s="148">
        <f t="shared" si="4"/>
        <v>0.4</v>
      </c>
      <c r="K79" s="147"/>
      <c r="L79" s="147">
        <v>1.9</v>
      </c>
      <c r="M79" s="147"/>
      <c r="N79" s="147"/>
      <c r="O79" s="147">
        <v>3.7</v>
      </c>
      <c r="P79" s="149">
        <f>O79</f>
        <v>3.7</v>
      </c>
      <c r="Q79" s="147"/>
      <c r="R79" s="147">
        <v>9.9</v>
      </c>
      <c r="S79" s="147"/>
      <c r="T79" s="147">
        <v>1</v>
      </c>
      <c r="U79" s="147"/>
      <c r="V79" s="147">
        <v>0.5</v>
      </c>
      <c r="W79" s="117"/>
      <c r="X79" s="117">
        <f t="shared" si="2"/>
        <v>20.100000000000001</v>
      </c>
      <c r="Y79" s="97" t="s">
        <v>1100</v>
      </c>
    </row>
    <row r="80" spans="1:25" ht="78.75">
      <c r="A80" s="469"/>
      <c r="B80" s="469"/>
      <c r="C80" s="469"/>
      <c r="D80" s="106">
        <v>74</v>
      </c>
      <c r="E80" s="106" t="s">
        <v>124</v>
      </c>
      <c r="F80" s="147">
        <v>67</v>
      </c>
      <c r="G80" s="147"/>
      <c r="H80" s="147"/>
      <c r="I80" s="150"/>
      <c r="J80" s="140">
        <v>0</v>
      </c>
      <c r="K80" s="150"/>
      <c r="L80" s="150"/>
      <c r="M80" s="150"/>
      <c r="N80" s="150"/>
      <c r="O80" s="150"/>
      <c r="P80" s="140">
        <v>0</v>
      </c>
      <c r="Q80" s="150"/>
      <c r="R80" s="150"/>
      <c r="S80" s="150"/>
      <c r="T80" s="150"/>
      <c r="U80" s="150"/>
      <c r="V80" s="150"/>
      <c r="W80" s="117"/>
      <c r="X80" s="117">
        <f t="shared" si="2"/>
        <v>67</v>
      </c>
      <c r="Y80" s="97" t="s">
        <v>1096</v>
      </c>
    </row>
    <row r="81" spans="1:25" ht="220.5">
      <c r="A81" s="469"/>
      <c r="B81" s="469"/>
      <c r="C81" s="469"/>
      <c r="D81" s="106">
        <v>75</v>
      </c>
      <c r="E81" s="106" t="s">
        <v>125</v>
      </c>
      <c r="F81" s="147">
        <v>2.2000000000000002</v>
      </c>
      <c r="G81" s="147"/>
      <c r="H81" s="147"/>
      <c r="I81" s="150"/>
      <c r="J81" s="140">
        <v>0</v>
      </c>
      <c r="K81" s="150"/>
      <c r="L81" s="150"/>
      <c r="M81" s="150"/>
      <c r="N81" s="150"/>
      <c r="O81" s="150"/>
      <c r="P81" s="140">
        <v>0</v>
      </c>
      <c r="Q81" s="150"/>
      <c r="R81" s="150"/>
      <c r="S81" s="147"/>
      <c r="T81" s="147">
        <v>1.1499999999999999</v>
      </c>
      <c r="U81" s="150"/>
      <c r="V81" s="150"/>
      <c r="W81" s="117"/>
      <c r="X81" s="117">
        <f t="shared" si="2"/>
        <v>3.35</v>
      </c>
      <c r="Y81" s="97" t="s">
        <v>1101</v>
      </c>
    </row>
    <row r="82" spans="1:25" ht="47.25" customHeight="1">
      <c r="A82" s="469"/>
      <c r="B82" s="469"/>
      <c r="C82" s="469"/>
      <c r="D82" s="106">
        <v>76</v>
      </c>
      <c r="E82" s="106" t="s">
        <v>126</v>
      </c>
      <c r="F82" s="150">
        <v>1.9</v>
      </c>
      <c r="G82" s="150"/>
      <c r="H82" s="150"/>
      <c r="I82" s="150"/>
      <c r="J82" s="140">
        <v>0</v>
      </c>
      <c r="K82" s="150"/>
      <c r="L82" s="150"/>
      <c r="M82" s="150"/>
      <c r="N82" s="150"/>
      <c r="O82" s="147"/>
      <c r="P82" s="140">
        <v>0</v>
      </c>
      <c r="Q82" s="147"/>
      <c r="R82" s="147">
        <v>1.6</v>
      </c>
      <c r="S82" s="150"/>
      <c r="T82" s="150"/>
      <c r="U82" s="150"/>
      <c r="V82" s="150"/>
      <c r="W82" s="117"/>
      <c r="X82" s="117">
        <f t="shared" si="2"/>
        <v>3.5</v>
      </c>
      <c r="Y82" s="97" t="s">
        <v>1102</v>
      </c>
    </row>
    <row r="83" spans="1:25" ht="330.75">
      <c r="A83" s="469"/>
      <c r="B83" s="469"/>
      <c r="C83" s="469"/>
      <c r="D83" s="106">
        <v>77</v>
      </c>
      <c r="E83" s="106" t="s">
        <v>127</v>
      </c>
      <c r="F83" s="147">
        <v>0.4</v>
      </c>
      <c r="G83" s="147"/>
      <c r="H83" s="147"/>
      <c r="I83" s="147">
        <v>0.25</v>
      </c>
      <c r="J83" s="149">
        <f>I83</f>
        <v>0.25</v>
      </c>
      <c r="K83" s="147"/>
      <c r="L83" s="147">
        <v>4.0999999999999996</v>
      </c>
      <c r="M83" s="150"/>
      <c r="N83" s="150"/>
      <c r="O83" s="147">
        <v>1.1000000000000001</v>
      </c>
      <c r="P83" s="140">
        <v>1.1000000000000001</v>
      </c>
      <c r="Q83" s="147"/>
      <c r="R83" s="147"/>
      <c r="S83" s="150"/>
      <c r="T83" s="150"/>
      <c r="U83" s="147"/>
      <c r="V83" s="147">
        <v>0</v>
      </c>
      <c r="W83" s="117"/>
      <c r="X83" s="117">
        <f>F83+I83+L83+P83</f>
        <v>5.85</v>
      </c>
      <c r="Y83" s="97" t="s">
        <v>1103</v>
      </c>
    </row>
    <row r="84" spans="1:25" ht="47.25">
      <c r="A84" s="469"/>
      <c r="B84" s="469"/>
      <c r="C84" s="469"/>
      <c r="D84" s="106">
        <v>78</v>
      </c>
      <c r="E84" s="106" t="s">
        <v>128</v>
      </c>
      <c r="F84" s="150"/>
      <c r="G84" s="150"/>
      <c r="H84" s="150"/>
      <c r="I84" s="150"/>
      <c r="J84" s="116">
        <f t="shared" ref="J84:J92" si="6">H84+I84</f>
        <v>0</v>
      </c>
      <c r="K84" s="150"/>
      <c r="L84" s="150"/>
      <c r="M84" s="150"/>
      <c r="N84" s="150"/>
      <c r="O84" s="150"/>
      <c r="P84" s="116">
        <f t="shared" ref="P84:P92" si="7">N84+O84</f>
        <v>0</v>
      </c>
      <c r="Q84" s="150"/>
      <c r="R84" s="150"/>
      <c r="S84" s="150"/>
      <c r="T84" s="150"/>
      <c r="U84" s="150"/>
      <c r="V84" s="150"/>
      <c r="W84" s="117"/>
      <c r="X84" s="117">
        <f t="shared" si="2"/>
        <v>0</v>
      </c>
      <c r="Y84" s="97"/>
    </row>
    <row r="85" spans="1:25" ht="15" customHeight="1">
      <c r="A85" s="469"/>
      <c r="B85" s="469"/>
      <c r="C85" s="469"/>
      <c r="D85" s="106">
        <v>79</v>
      </c>
      <c r="E85" s="106" t="s">
        <v>44</v>
      </c>
      <c r="F85" s="140"/>
      <c r="G85" s="151"/>
      <c r="H85" s="151"/>
      <c r="I85" s="140"/>
      <c r="J85" s="116">
        <f t="shared" si="6"/>
        <v>0</v>
      </c>
      <c r="K85" s="151"/>
      <c r="L85" s="140"/>
      <c r="M85" s="151"/>
      <c r="N85" s="151"/>
      <c r="O85" s="140"/>
      <c r="P85" s="116">
        <f t="shared" si="7"/>
        <v>0</v>
      </c>
      <c r="Q85" s="151"/>
      <c r="R85" s="140"/>
      <c r="S85" s="151"/>
      <c r="T85" s="140"/>
      <c r="U85" s="151"/>
      <c r="V85" s="151"/>
      <c r="W85" s="117"/>
      <c r="X85" s="117">
        <f t="shared" si="2"/>
        <v>0</v>
      </c>
      <c r="Y85" s="97"/>
    </row>
    <row r="86" spans="1:25" ht="15.75">
      <c r="A86" s="469"/>
      <c r="B86" s="476" t="s">
        <v>129</v>
      </c>
      <c r="C86" s="476" t="s">
        <v>130</v>
      </c>
      <c r="D86" s="106">
        <v>80</v>
      </c>
      <c r="E86" s="106" t="s">
        <v>131</v>
      </c>
      <c r="F86" s="140"/>
      <c r="G86" s="120"/>
      <c r="H86" s="120"/>
      <c r="I86" s="140"/>
      <c r="J86" s="116">
        <f t="shared" si="6"/>
        <v>0</v>
      </c>
      <c r="K86" s="120"/>
      <c r="L86" s="140"/>
      <c r="M86" s="120"/>
      <c r="N86" s="120"/>
      <c r="O86" s="142"/>
      <c r="P86" s="145">
        <f t="shared" si="7"/>
        <v>0</v>
      </c>
      <c r="Q86" s="122"/>
      <c r="R86" s="162"/>
      <c r="S86" s="121"/>
      <c r="T86" s="161"/>
      <c r="U86" s="120"/>
      <c r="V86" s="120"/>
      <c r="W86" s="117"/>
      <c r="X86" s="117">
        <f t="shared" si="2"/>
        <v>0</v>
      </c>
      <c r="Y86" s="97"/>
    </row>
    <row r="87" spans="1:25" ht="63">
      <c r="A87" s="469"/>
      <c r="B87" s="469"/>
      <c r="C87" s="469"/>
      <c r="D87" s="106">
        <v>81</v>
      </c>
      <c r="E87" s="106" t="s">
        <v>132</v>
      </c>
      <c r="F87" s="140"/>
      <c r="G87" s="120"/>
      <c r="H87" s="120"/>
      <c r="I87" s="140"/>
      <c r="J87" s="116">
        <f t="shared" si="6"/>
        <v>0</v>
      </c>
      <c r="K87" s="120"/>
      <c r="L87" s="140"/>
      <c r="M87" s="120"/>
      <c r="N87" s="120"/>
      <c r="O87" s="140"/>
      <c r="P87" s="116">
        <f t="shared" si="7"/>
        <v>0</v>
      </c>
      <c r="Q87" s="122"/>
      <c r="R87" s="162"/>
      <c r="S87" s="121"/>
      <c r="T87" s="161"/>
      <c r="U87" s="120"/>
      <c r="V87" s="120"/>
      <c r="W87" s="117"/>
      <c r="X87" s="117">
        <f t="shared" si="2"/>
        <v>0</v>
      </c>
      <c r="Y87" s="135"/>
    </row>
    <row r="88" spans="1:25" ht="78.75">
      <c r="A88" s="469"/>
      <c r="B88" s="469"/>
      <c r="C88" s="469"/>
      <c r="D88" s="106">
        <v>82</v>
      </c>
      <c r="E88" s="223" t="s">
        <v>133</v>
      </c>
      <c r="F88" s="140"/>
      <c r="G88" s="120"/>
      <c r="H88" s="120"/>
      <c r="I88" s="140"/>
      <c r="J88" s="116">
        <f t="shared" si="6"/>
        <v>0</v>
      </c>
      <c r="K88" s="120"/>
      <c r="L88" s="140"/>
      <c r="M88" s="120"/>
      <c r="N88" s="120"/>
      <c r="O88" s="140"/>
      <c r="P88" s="116">
        <f t="shared" si="7"/>
        <v>0</v>
      </c>
      <c r="Q88" s="120"/>
      <c r="R88" s="140"/>
      <c r="S88" s="121"/>
      <c r="T88" s="161">
        <v>0.1</v>
      </c>
      <c r="U88" s="120"/>
      <c r="V88" s="120"/>
      <c r="W88" s="117"/>
      <c r="X88" s="117">
        <f t="shared" si="2"/>
        <v>0.1</v>
      </c>
      <c r="Y88" s="250" t="s">
        <v>957</v>
      </c>
    </row>
    <row r="89" spans="1:25" ht="31.5">
      <c r="A89" s="469"/>
      <c r="B89" s="469"/>
      <c r="C89" s="469"/>
      <c r="D89" s="106">
        <v>83</v>
      </c>
      <c r="E89" s="106" t="s">
        <v>134</v>
      </c>
      <c r="F89" s="140"/>
      <c r="G89" s="120"/>
      <c r="H89" s="120"/>
      <c r="I89" s="140"/>
      <c r="J89" s="116">
        <f t="shared" si="6"/>
        <v>0</v>
      </c>
      <c r="K89" s="120"/>
      <c r="L89" s="140"/>
      <c r="M89" s="120"/>
      <c r="N89" s="120"/>
      <c r="O89" s="162">
        <v>0.5</v>
      </c>
      <c r="P89" s="117">
        <f t="shared" si="7"/>
        <v>0.5</v>
      </c>
      <c r="Q89" s="121"/>
      <c r="R89" s="161"/>
      <c r="S89" s="121"/>
      <c r="T89" s="161">
        <v>0</v>
      </c>
      <c r="U89" s="120"/>
      <c r="V89" s="120"/>
      <c r="W89" s="117"/>
      <c r="X89" s="117">
        <f t="shared" si="2"/>
        <v>0.5</v>
      </c>
      <c r="Y89" s="97" t="s">
        <v>956</v>
      </c>
    </row>
    <row r="90" spans="1:25" ht="78.75">
      <c r="A90" s="469"/>
      <c r="B90" s="106" t="s">
        <v>135</v>
      </c>
      <c r="C90" s="106" t="s">
        <v>136</v>
      </c>
      <c r="D90" s="106">
        <v>84</v>
      </c>
      <c r="E90" s="106" t="s">
        <v>137</v>
      </c>
      <c r="F90" s="140"/>
      <c r="G90" s="120"/>
      <c r="H90" s="120"/>
      <c r="I90" s="140"/>
      <c r="J90" s="116">
        <f t="shared" si="6"/>
        <v>0</v>
      </c>
      <c r="K90" s="122"/>
      <c r="L90" s="162"/>
      <c r="M90" s="120"/>
      <c r="N90" s="120"/>
      <c r="O90" s="162"/>
      <c r="P90" s="117">
        <f t="shared" si="7"/>
        <v>0</v>
      </c>
      <c r="Q90" s="120"/>
      <c r="R90" s="140"/>
      <c r="S90" s="120"/>
      <c r="T90" s="140"/>
      <c r="U90" s="120"/>
      <c r="V90" s="120"/>
      <c r="W90" s="117"/>
      <c r="X90" s="117">
        <f t="shared" si="2"/>
        <v>0</v>
      </c>
      <c r="Y90" s="97"/>
    </row>
    <row r="91" spans="1:25" ht="110.2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7"/>
    </row>
    <row r="92" spans="1:25" ht="94.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7"/>
    </row>
    <row r="93" spans="1:25" ht="29.25" customHeight="1">
      <c r="A93" s="469"/>
      <c r="B93" s="476" t="s">
        <v>143</v>
      </c>
      <c r="C93" s="469"/>
      <c r="D93" s="469"/>
      <c r="E93" s="106"/>
      <c r="F93" s="102">
        <f t="shared" ref="F93:W93" si="8">SUM(F69:F92)</f>
        <v>74.200000000000017</v>
      </c>
      <c r="G93" s="102">
        <f t="shared" si="8"/>
        <v>0</v>
      </c>
      <c r="H93" s="102">
        <f t="shared" si="8"/>
        <v>0</v>
      </c>
      <c r="I93" s="102">
        <f t="shared" si="8"/>
        <v>0.65</v>
      </c>
      <c r="J93" s="102">
        <f t="shared" si="8"/>
        <v>0.65</v>
      </c>
      <c r="K93" s="102">
        <f t="shared" si="8"/>
        <v>0</v>
      </c>
      <c r="L93" s="102">
        <f t="shared" si="8"/>
        <v>6.1099999999999994</v>
      </c>
      <c r="M93" s="102">
        <f t="shared" si="8"/>
        <v>0</v>
      </c>
      <c r="N93" s="102">
        <f t="shared" si="8"/>
        <v>0</v>
      </c>
      <c r="O93" s="102">
        <f t="shared" si="8"/>
        <v>5.59</v>
      </c>
      <c r="P93" s="102">
        <f t="shared" si="8"/>
        <v>5.59</v>
      </c>
      <c r="Q93" s="102">
        <f t="shared" si="8"/>
        <v>0</v>
      </c>
      <c r="R93" s="102">
        <f t="shared" si="8"/>
        <v>11.7</v>
      </c>
      <c r="S93" s="102">
        <f t="shared" si="8"/>
        <v>0</v>
      </c>
      <c r="T93" s="102">
        <f t="shared" si="8"/>
        <v>72.901999999999987</v>
      </c>
      <c r="U93" s="102">
        <f t="shared" si="8"/>
        <v>0</v>
      </c>
      <c r="V93" s="102">
        <f t="shared" si="8"/>
        <v>3.7</v>
      </c>
      <c r="W93" s="102">
        <f t="shared" si="8"/>
        <v>0</v>
      </c>
      <c r="X93" s="102">
        <f t="shared" si="2"/>
        <v>174.852</v>
      </c>
      <c r="Y93" s="251"/>
    </row>
    <row r="94" spans="1:25" ht="110.25">
      <c r="A94" s="477" t="s">
        <v>144</v>
      </c>
      <c r="B94" s="476" t="s">
        <v>145</v>
      </c>
      <c r="C94" s="476" t="s">
        <v>146</v>
      </c>
      <c r="D94" s="106">
        <v>87</v>
      </c>
      <c r="E94" s="106" t="s">
        <v>147</v>
      </c>
      <c r="F94" s="155"/>
      <c r="G94" s="155"/>
      <c r="H94" s="155"/>
      <c r="I94" s="155"/>
      <c r="J94" s="116">
        <f t="shared" ref="J94:J133" si="9">H94+I94</f>
        <v>0</v>
      </c>
      <c r="K94" s="155"/>
      <c r="L94" s="139"/>
      <c r="M94" s="155"/>
      <c r="N94" s="155"/>
      <c r="O94" s="162">
        <v>25</v>
      </c>
      <c r="P94" s="117">
        <f t="shared" ref="P94:P133" si="10">N94+O94</f>
        <v>25</v>
      </c>
      <c r="Q94" s="155"/>
      <c r="R94" s="139"/>
      <c r="S94" s="155"/>
      <c r="T94" s="139"/>
      <c r="U94" s="155"/>
      <c r="V94" s="155"/>
      <c r="W94" s="117"/>
      <c r="X94" s="117">
        <f t="shared" si="2"/>
        <v>25</v>
      </c>
      <c r="Y94" s="225" t="s">
        <v>595</v>
      </c>
    </row>
    <row r="95" spans="1:25" ht="63">
      <c r="A95" s="469"/>
      <c r="B95" s="469"/>
      <c r="C95" s="469"/>
      <c r="D95" s="106">
        <v>88</v>
      </c>
      <c r="E95" s="106" t="s">
        <v>148</v>
      </c>
      <c r="F95" s="155"/>
      <c r="G95" s="155"/>
      <c r="H95" s="155"/>
      <c r="I95" s="155"/>
      <c r="J95" s="116">
        <f t="shared" si="9"/>
        <v>0</v>
      </c>
      <c r="K95" s="155"/>
      <c r="L95" s="139"/>
      <c r="M95" s="155"/>
      <c r="N95" s="155"/>
      <c r="O95" s="139"/>
      <c r="P95" s="116">
        <f t="shared" si="10"/>
        <v>0</v>
      </c>
      <c r="Q95" s="155"/>
      <c r="R95" s="139"/>
      <c r="S95" s="158"/>
      <c r="T95" s="343">
        <v>1</v>
      </c>
      <c r="U95" s="155"/>
      <c r="V95" s="155"/>
      <c r="W95" s="117"/>
      <c r="X95" s="117">
        <f t="shared" si="2"/>
        <v>1</v>
      </c>
      <c r="Y95" s="225" t="s">
        <v>606</v>
      </c>
    </row>
    <row r="96" spans="1:25" ht="78.75">
      <c r="A96" s="469"/>
      <c r="B96" s="469"/>
      <c r="C96" s="469"/>
      <c r="D96" s="106">
        <v>89</v>
      </c>
      <c r="E96" s="106" t="s">
        <v>149</v>
      </c>
      <c r="F96" s="155"/>
      <c r="G96" s="155"/>
      <c r="H96" s="155"/>
      <c r="I96" s="155"/>
      <c r="J96" s="116">
        <f t="shared" si="9"/>
        <v>0</v>
      </c>
      <c r="K96" s="155"/>
      <c r="L96" s="139"/>
      <c r="M96" s="155"/>
      <c r="N96" s="155"/>
      <c r="O96" s="139"/>
      <c r="P96" s="116">
        <f t="shared" si="10"/>
        <v>0</v>
      </c>
      <c r="Q96" s="155"/>
      <c r="R96" s="139"/>
      <c r="S96" s="155"/>
      <c r="T96" s="139"/>
      <c r="U96" s="155"/>
      <c r="V96" s="155"/>
      <c r="W96" s="117"/>
      <c r="X96" s="117">
        <f t="shared" si="2"/>
        <v>0</v>
      </c>
      <c r="Y96" s="225"/>
    </row>
    <row r="97" spans="1:25" ht="63">
      <c r="A97" s="469"/>
      <c r="B97" s="469"/>
      <c r="C97" s="469"/>
      <c r="D97" s="106">
        <v>90</v>
      </c>
      <c r="E97" s="106" t="s">
        <v>150</v>
      </c>
      <c r="F97" s="155"/>
      <c r="G97" s="155"/>
      <c r="H97" s="155"/>
      <c r="I97" s="155"/>
      <c r="J97" s="116">
        <f t="shared" si="9"/>
        <v>0</v>
      </c>
      <c r="K97" s="155"/>
      <c r="L97" s="139"/>
      <c r="M97" s="155"/>
      <c r="N97" s="155"/>
      <c r="O97" s="139"/>
      <c r="P97" s="116">
        <f t="shared" si="10"/>
        <v>0</v>
      </c>
      <c r="Q97" s="155"/>
      <c r="R97" s="139"/>
      <c r="S97" s="158"/>
      <c r="T97" s="343"/>
      <c r="U97" s="155"/>
      <c r="V97" s="155"/>
      <c r="W97" s="117"/>
      <c r="X97" s="117">
        <f t="shared" si="2"/>
        <v>0</v>
      </c>
      <c r="Y97" s="225"/>
    </row>
    <row r="98" spans="1:25" ht="47.25">
      <c r="A98" s="469"/>
      <c r="B98" s="469"/>
      <c r="C98" s="469"/>
      <c r="D98" s="106">
        <v>91</v>
      </c>
      <c r="E98" s="106" t="s">
        <v>151</v>
      </c>
      <c r="F98" s="155"/>
      <c r="G98" s="120"/>
      <c r="H98" s="120"/>
      <c r="I98" s="120"/>
      <c r="J98" s="116">
        <f t="shared" si="9"/>
        <v>0</v>
      </c>
      <c r="K98" s="120"/>
      <c r="L98" s="140"/>
      <c r="M98" s="120"/>
      <c r="N98" s="120"/>
      <c r="O98" s="162"/>
      <c r="P98" s="117">
        <f t="shared" si="10"/>
        <v>0</v>
      </c>
      <c r="Q98" s="120"/>
      <c r="R98" s="140"/>
      <c r="S98" s="121"/>
      <c r="T98" s="161"/>
      <c r="U98" s="155"/>
      <c r="V98" s="155"/>
      <c r="W98" s="117"/>
      <c r="X98" s="117">
        <f t="shared" si="2"/>
        <v>0</v>
      </c>
      <c r="Y98" s="227"/>
    </row>
    <row r="99" spans="1:25" ht="78.75">
      <c r="A99" s="469"/>
      <c r="B99" s="469"/>
      <c r="C99" s="469"/>
      <c r="D99" s="106">
        <v>92</v>
      </c>
      <c r="E99" s="106" t="s">
        <v>152</v>
      </c>
      <c r="F99" s="155"/>
      <c r="G99" s="155"/>
      <c r="H99" s="155"/>
      <c r="I99" s="155"/>
      <c r="J99" s="116">
        <f t="shared" si="9"/>
        <v>0</v>
      </c>
      <c r="K99" s="155"/>
      <c r="L99" s="139"/>
      <c r="M99" s="155"/>
      <c r="N99" s="155"/>
      <c r="O99" s="139"/>
      <c r="P99" s="116">
        <f t="shared" si="10"/>
        <v>0</v>
      </c>
      <c r="Q99" s="155"/>
      <c r="R99" s="139"/>
      <c r="S99" s="158"/>
      <c r="T99" s="343">
        <v>2</v>
      </c>
      <c r="U99" s="155"/>
      <c r="V99" s="155"/>
      <c r="W99" s="117"/>
      <c r="X99" s="117">
        <f t="shared" si="2"/>
        <v>2</v>
      </c>
      <c r="Y99" s="231" t="s">
        <v>603</v>
      </c>
    </row>
    <row r="100" spans="1:25" ht="78.75">
      <c r="A100" s="469"/>
      <c r="B100" s="469"/>
      <c r="C100" s="469"/>
      <c r="D100" s="106">
        <v>93</v>
      </c>
      <c r="E100" s="106" t="s">
        <v>153</v>
      </c>
      <c r="F100" s="155"/>
      <c r="G100" s="155"/>
      <c r="H100" s="155"/>
      <c r="I100" s="155"/>
      <c r="J100" s="116">
        <f t="shared" si="9"/>
        <v>0</v>
      </c>
      <c r="K100" s="158"/>
      <c r="L100" s="343">
        <v>6</v>
      </c>
      <c r="M100" s="155"/>
      <c r="N100" s="155"/>
      <c r="O100" s="139"/>
      <c r="P100" s="116">
        <f t="shared" si="10"/>
        <v>0</v>
      </c>
      <c r="Q100" s="155"/>
      <c r="R100" s="139"/>
      <c r="S100" s="155"/>
      <c r="T100" s="139"/>
      <c r="U100" s="155"/>
      <c r="V100" s="155"/>
      <c r="W100" s="117"/>
      <c r="X100" s="117">
        <f t="shared" si="2"/>
        <v>6</v>
      </c>
      <c r="Y100" s="227" t="s">
        <v>607</v>
      </c>
    </row>
    <row r="101" spans="1:25" ht="78.75">
      <c r="A101" s="469"/>
      <c r="B101" s="469"/>
      <c r="C101" s="469"/>
      <c r="D101" s="106">
        <v>94</v>
      </c>
      <c r="E101" s="106" t="s">
        <v>154</v>
      </c>
      <c r="F101" s="155"/>
      <c r="G101" s="155"/>
      <c r="H101" s="155"/>
      <c r="I101" s="155"/>
      <c r="J101" s="116">
        <f t="shared" si="9"/>
        <v>0</v>
      </c>
      <c r="K101" s="158"/>
      <c r="L101" s="343">
        <v>6</v>
      </c>
      <c r="M101" s="155"/>
      <c r="N101" s="155"/>
      <c r="O101" s="139"/>
      <c r="P101" s="116">
        <f t="shared" si="10"/>
        <v>0</v>
      </c>
      <c r="Q101" s="155"/>
      <c r="R101" s="139"/>
      <c r="S101" s="155"/>
      <c r="T101" s="139"/>
      <c r="U101" s="155"/>
      <c r="V101" s="155"/>
      <c r="W101" s="117"/>
      <c r="X101" s="117">
        <f t="shared" si="2"/>
        <v>6</v>
      </c>
      <c r="Y101" s="231" t="s">
        <v>608</v>
      </c>
    </row>
    <row r="102" spans="1:25" ht="94.5">
      <c r="A102" s="469"/>
      <c r="B102" s="469"/>
      <c r="C102" s="469"/>
      <c r="D102" s="106">
        <v>95</v>
      </c>
      <c r="E102" s="106" t="s">
        <v>155</v>
      </c>
      <c r="F102" s="155"/>
      <c r="G102" s="155"/>
      <c r="H102" s="155"/>
      <c r="I102" s="158"/>
      <c r="J102" s="125">
        <f t="shared" si="9"/>
        <v>0</v>
      </c>
      <c r="K102" s="122"/>
      <c r="L102" s="162"/>
      <c r="M102" s="155"/>
      <c r="N102" s="155"/>
      <c r="O102" s="139"/>
      <c r="P102" s="116">
        <f t="shared" si="10"/>
        <v>0</v>
      </c>
      <c r="Q102" s="155"/>
      <c r="R102" s="139"/>
      <c r="S102" s="155"/>
      <c r="T102" s="139"/>
      <c r="U102" s="155"/>
      <c r="V102" s="155"/>
      <c r="W102" s="117"/>
      <c r="X102" s="117">
        <f t="shared" si="2"/>
        <v>0</v>
      </c>
      <c r="Y102" s="97"/>
    </row>
    <row r="103" spans="1:25" ht="64.5" customHeight="1">
      <c r="A103" s="469"/>
      <c r="B103" s="469"/>
      <c r="C103" s="469"/>
      <c r="D103" s="106">
        <v>96</v>
      </c>
      <c r="E103" s="106" t="s">
        <v>156</v>
      </c>
      <c r="F103" s="155"/>
      <c r="G103" s="155"/>
      <c r="H103" s="155"/>
      <c r="I103" s="155"/>
      <c r="J103" s="116">
        <f t="shared" si="9"/>
        <v>0</v>
      </c>
      <c r="K103" s="155"/>
      <c r="L103" s="139"/>
      <c r="M103" s="155"/>
      <c r="N103" s="155"/>
      <c r="O103" s="139"/>
      <c r="P103" s="116">
        <f t="shared" si="10"/>
        <v>0</v>
      </c>
      <c r="Q103" s="155"/>
      <c r="R103" s="139"/>
      <c r="S103" s="120"/>
      <c r="T103" s="140">
        <v>1</v>
      </c>
      <c r="U103" s="155"/>
      <c r="V103" s="155"/>
      <c r="W103" s="117"/>
      <c r="X103" s="117">
        <f t="shared" si="2"/>
        <v>1</v>
      </c>
      <c r="Y103" s="97" t="s">
        <v>157</v>
      </c>
    </row>
    <row r="104" spans="1:25" ht="126">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10.6</v>
      </c>
      <c r="U104" s="140"/>
      <c r="V104" s="140"/>
      <c r="W104" s="117"/>
      <c r="X104" s="117">
        <f t="shared" si="2"/>
        <v>10.6</v>
      </c>
      <c r="Y104" s="135" t="s">
        <v>647</v>
      </c>
    </row>
    <row r="105" spans="1:25" ht="84" customHeight="1">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31.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94.5">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6.25</v>
      </c>
      <c r="U109" s="140"/>
      <c r="V109" s="140"/>
      <c r="W109" s="117"/>
      <c r="X109" s="117">
        <f t="shared" si="2"/>
        <v>6.25</v>
      </c>
      <c r="Y109" s="97" t="s">
        <v>648</v>
      </c>
    </row>
    <row r="110" spans="1:25" ht="47.25">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47.2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135"/>
    </row>
    <row r="112" spans="1:25" ht="15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31.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135"/>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47.2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31.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344"/>
      <c r="S120" s="140"/>
      <c r="T120" s="260"/>
      <c r="U120" s="140"/>
      <c r="V120" s="140"/>
      <c r="W120" s="117"/>
      <c r="X120" s="117">
        <f t="shared" si="2"/>
        <v>0</v>
      </c>
      <c r="Y120" s="252"/>
    </row>
    <row r="121" spans="1:25" ht="152.25" customHeight="1">
      <c r="A121" s="469"/>
      <c r="B121" s="106" t="s">
        <v>183</v>
      </c>
      <c r="C121" s="106" t="s">
        <v>184</v>
      </c>
      <c r="D121" s="106">
        <v>114</v>
      </c>
      <c r="E121" s="106" t="s">
        <v>185</v>
      </c>
      <c r="F121" s="140"/>
      <c r="G121" s="140"/>
      <c r="H121" s="140"/>
      <c r="I121" s="161">
        <v>8</v>
      </c>
      <c r="J121" s="125">
        <f t="shared" si="9"/>
        <v>8</v>
      </c>
      <c r="K121" s="140"/>
      <c r="L121" s="140">
        <v>0.3</v>
      </c>
      <c r="M121" s="140"/>
      <c r="N121" s="140"/>
      <c r="O121" s="140"/>
      <c r="P121" s="116">
        <f t="shared" si="10"/>
        <v>0</v>
      </c>
      <c r="Q121" s="140"/>
      <c r="R121" s="260"/>
      <c r="S121" s="140"/>
      <c r="T121" s="260">
        <v>4</v>
      </c>
      <c r="U121" s="161"/>
      <c r="V121" s="161"/>
      <c r="W121" s="117"/>
      <c r="X121" s="117">
        <f t="shared" si="2"/>
        <v>12.3</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344"/>
      <c r="S122" s="140"/>
      <c r="T122" s="260">
        <v>1.5</v>
      </c>
      <c r="U122" s="140"/>
      <c r="V122" s="140"/>
      <c r="W122" s="117"/>
      <c r="X122" s="117">
        <f t="shared" si="2"/>
        <v>1.5</v>
      </c>
      <c r="Y122" s="135" t="s">
        <v>636</v>
      </c>
    </row>
    <row r="123" spans="1:25" ht="47.2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3.85</v>
      </c>
      <c r="S123" s="140"/>
      <c r="T123" s="140"/>
      <c r="U123" s="140"/>
      <c r="V123" s="140"/>
      <c r="W123" s="117"/>
      <c r="X123" s="117">
        <f t="shared" si="2"/>
        <v>3.85</v>
      </c>
      <c r="Y123" s="135" t="s">
        <v>649</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260"/>
      <c r="S124" s="140"/>
      <c r="T124" s="260"/>
      <c r="U124" s="140"/>
      <c r="V124" s="140"/>
      <c r="W124" s="162"/>
      <c r="X124" s="117">
        <f t="shared" si="2"/>
        <v>0</v>
      </c>
      <c r="Y124" s="97"/>
    </row>
    <row r="125" spans="1:25" ht="47.2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v>0</v>
      </c>
      <c r="S125" s="140"/>
      <c r="T125" s="140">
        <v>0</v>
      </c>
      <c r="U125" s="140"/>
      <c r="V125" s="140"/>
      <c r="W125" s="162"/>
      <c r="X125" s="117">
        <f t="shared" si="2"/>
        <v>0</v>
      </c>
      <c r="Y125" s="97"/>
    </row>
    <row r="126" spans="1:25" ht="94.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v>0</v>
      </c>
      <c r="S126" s="161"/>
      <c r="T126" s="161">
        <v>5</v>
      </c>
      <c r="U126" s="140"/>
      <c r="V126" s="140"/>
      <c r="W126" s="117"/>
      <c r="X126" s="117">
        <f t="shared" si="2"/>
        <v>5</v>
      </c>
      <c r="Y126" s="135" t="s">
        <v>638</v>
      </c>
    </row>
    <row r="127" spans="1:25" ht="126">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345"/>
      <c r="S127" s="161"/>
      <c r="T127" s="161"/>
      <c r="U127" s="140"/>
      <c r="V127" s="140"/>
      <c r="W127" s="117"/>
      <c r="X127" s="117">
        <f t="shared" si="2"/>
        <v>0</v>
      </c>
      <c r="Y127" s="97"/>
    </row>
    <row r="128" spans="1:25" ht="31.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260"/>
      <c r="S128" s="140"/>
      <c r="T128" s="140"/>
      <c r="U128" s="140"/>
      <c r="V128" s="140"/>
      <c r="W128" s="117"/>
      <c r="X128" s="117">
        <f t="shared" si="2"/>
        <v>0</v>
      </c>
      <c r="Y128" s="135"/>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135"/>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98"/>
    </row>
    <row r="131" spans="1:25" ht="31.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252"/>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252"/>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7"/>
    </row>
    <row r="134" spans="1:25" ht="26.25" customHeight="1">
      <c r="A134" s="469"/>
      <c r="B134" s="476" t="s">
        <v>208</v>
      </c>
      <c r="C134" s="469"/>
      <c r="D134" s="469"/>
      <c r="E134" s="106"/>
      <c r="F134" s="100">
        <f t="shared" ref="F134:W134" si="11">SUM(F94:F133)</f>
        <v>0</v>
      </c>
      <c r="G134" s="100">
        <f t="shared" si="11"/>
        <v>0</v>
      </c>
      <c r="H134" s="100">
        <f t="shared" si="11"/>
        <v>0</v>
      </c>
      <c r="I134" s="100">
        <f t="shared" si="11"/>
        <v>8</v>
      </c>
      <c r="J134" s="100">
        <f t="shared" si="11"/>
        <v>8</v>
      </c>
      <c r="K134" s="100">
        <f t="shared" si="11"/>
        <v>0</v>
      </c>
      <c r="L134" s="100">
        <f t="shared" si="11"/>
        <v>13.3</v>
      </c>
      <c r="M134" s="100">
        <f t="shared" si="11"/>
        <v>0</v>
      </c>
      <c r="N134" s="100">
        <f t="shared" si="11"/>
        <v>0</v>
      </c>
      <c r="O134" s="102">
        <f t="shared" si="11"/>
        <v>25</v>
      </c>
      <c r="P134" s="102">
        <f t="shared" si="11"/>
        <v>25</v>
      </c>
      <c r="Q134" s="100">
        <f t="shared" si="11"/>
        <v>0</v>
      </c>
      <c r="R134" s="100">
        <f t="shared" si="11"/>
        <v>3.85</v>
      </c>
      <c r="S134" s="100">
        <f t="shared" si="11"/>
        <v>0</v>
      </c>
      <c r="T134" s="100">
        <f t="shared" si="11"/>
        <v>33.71</v>
      </c>
      <c r="U134" s="100">
        <f t="shared" si="11"/>
        <v>0</v>
      </c>
      <c r="V134" s="100">
        <f t="shared" si="11"/>
        <v>0</v>
      </c>
      <c r="W134" s="102">
        <f t="shared" si="11"/>
        <v>0</v>
      </c>
      <c r="X134" s="100">
        <f t="shared" si="2"/>
        <v>83.86</v>
      </c>
      <c r="Y134" s="253"/>
    </row>
    <row r="135" spans="1:25" ht="78.75">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260"/>
      <c r="U135" s="120"/>
      <c r="V135" s="120"/>
      <c r="W135" s="117"/>
      <c r="X135" s="117">
        <f t="shared" si="2"/>
        <v>0</v>
      </c>
      <c r="Y135" s="97"/>
    </row>
    <row r="136" spans="1:25" ht="39" customHeight="1">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344"/>
      <c r="U136" s="120"/>
      <c r="V136" s="120"/>
      <c r="W136" s="117"/>
      <c r="X136" s="117">
        <f t="shared" si="2"/>
        <v>0</v>
      </c>
      <c r="Y136" s="135"/>
    </row>
    <row r="137" spans="1:25" ht="47.2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260"/>
      <c r="U137" s="120"/>
      <c r="V137" s="120"/>
      <c r="W137" s="117"/>
      <c r="X137" s="117">
        <f t="shared" si="2"/>
        <v>0</v>
      </c>
      <c r="Y137" s="97"/>
    </row>
    <row r="138" spans="1:25" ht="110.25">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260"/>
      <c r="U138" s="120"/>
      <c r="V138" s="120"/>
      <c r="W138" s="117"/>
      <c r="X138" s="117">
        <f t="shared" si="2"/>
        <v>0</v>
      </c>
      <c r="Y138" s="97"/>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260"/>
      <c r="U140" s="120"/>
      <c r="V140" s="120"/>
      <c r="W140" s="117"/>
      <c r="X140" s="117">
        <f t="shared" si="2"/>
        <v>0</v>
      </c>
      <c r="Y140" s="97"/>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260"/>
      <c r="U141" s="120"/>
      <c r="V141" s="120"/>
      <c r="W141" s="117"/>
      <c r="X141" s="117">
        <f t="shared" si="2"/>
        <v>0</v>
      </c>
      <c r="Y141" s="97"/>
    </row>
    <row r="142" spans="1:25" ht="110.25">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(3*0.025*12)</f>
        <v>0.90000000000000013</v>
      </c>
      <c r="U142" s="120"/>
      <c r="V142" s="120"/>
      <c r="W142" s="117"/>
      <c r="X142" s="117">
        <f t="shared" si="2"/>
        <v>0.90000000000000013</v>
      </c>
      <c r="Y142" s="254" t="s">
        <v>668</v>
      </c>
    </row>
    <row r="143" spans="1:25" ht="63">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260"/>
      <c r="U143" s="120"/>
      <c r="V143" s="120"/>
      <c r="W143" s="117"/>
      <c r="X143" s="117">
        <f t="shared" si="2"/>
        <v>0</v>
      </c>
      <c r="Y143" s="97"/>
    </row>
    <row r="144" spans="1:25" ht="63">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344"/>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62"/>
      <c r="U145" s="120"/>
      <c r="V145" s="120"/>
      <c r="W145" s="117"/>
      <c r="X145" s="117">
        <f t="shared" si="2"/>
        <v>0</v>
      </c>
      <c r="Y145" s="135"/>
    </row>
    <row r="146" spans="1:25" ht="47.2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260"/>
      <c r="U146" s="120"/>
      <c r="V146" s="120"/>
      <c r="W146" s="117"/>
      <c r="X146" s="117">
        <f t="shared" si="2"/>
        <v>0</v>
      </c>
      <c r="Y146" s="135"/>
    </row>
    <row r="147" spans="1:25" ht="78.75">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f>1*0.5</f>
        <v>0.5</v>
      </c>
      <c r="U147" s="120"/>
      <c r="V147" s="120"/>
      <c r="W147" s="117"/>
      <c r="X147" s="117">
        <f t="shared" si="2"/>
        <v>0.5</v>
      </c>
      <c r="Y147" s="135" t="s">
        <v>669</v>
      </c>
    </row>
    <row r="148" spans="1:25" ht="78.75">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62">
        <v>0.41</v>
      </c>
      <c r="U148" s="120"/>
      <c r="V148" s="120"/>
      <c r="W148" s="117"/>
      <c r="X148" s="117">
        <f t="shared" si="2"/>
        <v>0.41</v>
      </c>
      <c r="Y148" s="234" t="s">
        <v>670</v>
      </c>
    </row>
    <row r="149" spans="1:25" ht="31.5">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40"/>
      <c r="U149" s="120"/>
      <c r="V149" s="120"/>
      <c r="W149" s="117"/>
      <c r="X149" s="117">
        <f t="shared" si="2"/>
        <v>0</v>
      </c>
      <c r="Y149" s="97"/>
    </row>
    <row r="150" spans="1:25" ht="63">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140">
        <v>660.57</v>
      </c>
      <c r="U150" s="120"/>
      <c r="V150" s="120"/>
      <c r="W150" s="117"/>
      <c r="X150" s="117">
        <f t="shared" si="2"/>
        <v>660.57</v>
      </c>
      <c r="Y150" s="97" t="s">
        <v>671</v>
      </c>
    </row>
    <row r="151" spans="1:25" ht="63">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260"/>
      <c r="U151" s="120"/>
      <c r="V151" s="120"/>
      <c r="W151" s="117"/>
      <c r="X151" s="117">
        <f t="shared" si="2"/>
        <v>0</v>
      </c>
      <c r="Y151" s="97"/>
    </row>
    <row r="152" spans="1:25" ht="31.5">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260"/>
      <c r="U152" s="120"/>
      <c r="V152" s="120"/>
      <c r="W152" s="117"/>
      <c r="X152" s="117">
        <f t="shared" si="2"/>
        <v>0</v>
      </c>
      <c r="Y152" s="97"/>
    </row>
    <row r="153" spans="1:25" ht="63">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260"/>
      <c r="U153" s="120"/>
      <c r="V153" s="120"/>
      <c r="W153" s="117"/>
      <c r="X153" s="117">
        <f t="shared" si="2"/>
        <v>0</v>
      </c>
      <c r="Y153" s="97"/>
    </row>
    <row r="154" spans="1:25" ht="126">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260">
        <f>(0.4*12)+(12*0.1)</f>
        <v>6.0000000000000009</v>
      </c>
      <c r="U154" s="120"/>
      <c r="V154" s="120"/>
      <c r="W154" s="117"/>
      <c r="X154" s="117">
        <f t="shared" si="2"/>
        <v>6.0000000000000009</v>
      </c>
      <c r="Y154" s="256" t="s">
        <v>672</v>
      </c>
    </row>
    <row r="155" spans="1:25" ht="31.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260"/>
      <c r="U155" s="120"/>
      <c r="V155" s="120"/>
      <c r="W155" s="117"/>
      <c r="X155" s="117">
        <f t="shared" si="2"/>
        <v>0</v>
      </c>
      <c r="Y155" s="97"/>
    </row>
    <row r="156" spans="1:25" ht="78.75"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135"/>
    </row>
    <row r="157" spans="1:25" ht="94.5">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122">
        <f>(0.03*45)</f>
        <v>1.3499999999999999</v>
      </c>
      <c r="U157" s="151"/>
      <c r="V157" s="151"/>
      <c r="W157" s="117"/>
      <c r="X157" s="117">
        <f t="shared" si="2"/>
        <v>1.3499999999999999</v>
      </c>
      <c r="Y157" s="135" t="s">
        <v>673</v>
      </c>
    </row>
    <row r="158" spans="1:25" ht="15.75">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0">
        <f t="shared" si="14"/>
        <v>669.73</v>
      </c>
      <c r="U158" s="100">
        <f t="shared" si="14"/>
        <v>0</v>
      </c>
      <c r="V158" s="100">
        <f t="shared" si="14"/>
        <v>0</v>
      </c>
      <c r="W158" s="102">
        <f t="shared" si="14"/>
        <v>0</v>
      </c>
      <c r="X158" s="100">
        <f t="shared" si="2"/>
        <v>669.73</v>
      </c>
      <c r="Y158" s="253"/>
    </row>
    <row r="159" spans="1:25" ht="78.75">
      <c r="A159" s="477" t="s">
        <v>252</v>
      </c>
      <c r="B159" s="476" t="s">
        <v>253</v>
      </c>
      <c r="C159" s="476" t="s">
        <v>211</v>
      </c>
      <c r="D159" s="106">
        <v>150</v>
      </c>
      <c r="E159" s="106" t="s">
        <v>239</v>
      </c>
      <c r="F159" s="120"/>
      <c r="G159" s="121"/>
      <c r="H159" s="121">
        <v>130</v>
      </c>
      <c r="I159" s="121"/>
      <c r="J159" s="125">
        <f t="shared" ref="J159:J215" si="15">H159+I159</f>
        <v>130</v>
      </c>
      <c r="K159" s="120"/>
      <c r="L159" s="120"/>
      <c r="M159" s="120"/>
      <c r="N159" s="120"/>
      <c r="O159" s="120"/>
      <c r="P159" s="116">
        <f t="shared" ref="P159:P215" si="16">N159+O159</f>
        <v>0</v>
      </c>
      <c r="Q159" s="120"/>
      <c r="R159" s="140"/>
      <c r="S159" s="121"/>
      <c r="T159" s="161">
        <v>1</v>
      </c>
      <c r="U159" s="120"/>
      <c r="V159" s="120"/>
      <c r="W159" s="117"/>
      <c r="X159" s="117">
        <f t="shared" si="2"/>
        <v>131</v>
      </c>
      <c r="Y159" s="257" t="s">
        <v>1013</v>
      </c>
    </row>
    <row r="160" spans="1:25" ht="47.2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40"/>
      <c r="S160" s="121"/>
      <c r="T160" s="161"/>
      <c r="U160" s="120"/>
      <c r="V160" s="120"/>
      <c r="W160" s="117"/>
      <c r="X160" s="117">
        <f t="shared" si="2"/>
        <v>0</v>
      </c>
      <c r="Y160" s="97"/>
    </row>
    <row r="161" spans="1:25" ht="84" customHeight="1">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40"/>
      <c r="S161" s="121"/>
      <c r="T161" s="98">
        <f>333*3600/100000</f>
        <v>11.988</v>
      </c>
      <c r="U161" s="120"/>
      <c r="V161" s="120"/>
      <c r="W161" s="117"/>
      <c r="X161" s="117">
        <f t="shared" si="2"/>
        <v>11.988</v>
      </c>
      <c r="Y161" s="135" t="s">
        <v>1017</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18"/>
      <c r="S162" s="151"/>
      <c r="T162" s="118"/>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62"/>
      <c r="S163" s="120"/>
      <c r="T163" s="260"/>
      <c r="U163" s="120"/>
      <c r="V163" s="120"/>
      <c r="W163" s="117"/>
      <c r="X163" s="117">
        <f t="shared" si="2"/>
        <v>0</v>
      </c>
      <c r="Y163" s="97"/>
    </row>
    <row r="164" spans="1:25" ht="47.2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40"/>
      <c r="S164" s="121"/>
      <c r="T164" s="345"/>
      <c r="U164" s="120"/>
      <c r="V164" s="120"/>
      <c r="W164" s="117"/>
      <c r="X164" s="117">
        <f t="shared" si="2"/>
        <v>0</v>
      </c>
      <c r="Y164" s="97"/>
    </row>
    <row r="165" spans="1:25" ht="44.25" customHeight="1">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40"/>
      <c r="S165" s="121"/>
      <c r="T165" s="121">
        <v>2</v>
      </c>
      <c r="U165" s="166"/>
      <c r="V165" s="120"/>
      <c r="W165" s="117"/>
      <c r="X165" s="117">
        <f t="shared" si="2"/>
        <v>2</v>
      </c>
      <c r="Y165" s="97" t="s">
        <v>364</v>
      </c>
    </row>
    <row r="166" spans="1:25" ht="47.2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40"/>
      <c r="S166" s="120"/>
      <c r="T166" s="260"/>
      <c r="U166" s="120"/>
      <c r="V166" s="120"/>
      <c r="W166" s="117"/>
      <c r="X166" s="117">
        <f t="shared" si="2"/>
        <v>0</v>
      </c>
      <c r="Y166" s="97"/>
    </row>
    <row r="167" spans="1:25" ht="63">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40"/>
      <c r="S167" s="120"/>
      <c r="T167" s="260"/>
      <c r="U167" s="120"/>
      <c r="V167" s="120"/>
      <c r="W167" s="117"/>
      <c r="X167" s="117">
        <f t="shared" si="2"/>
        <v>0</v>
      </c>
      <c r="Y167" s="97"/>
    </row>
    <row r="168" spans="1:25" ht="110.2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40"/>
      <c r="S168" s="121"/>
      <c r="T168" s="139">
        <v>38.328000000000003</v>
      </c>
      <c r="U168" s="120"/>
      <c r="V168" s="120"/>
      <c r="W168" s="117"/>
      <c r="X168" s="117">
        <f t="shared" si="2"/>
        <v>38.328000000000003</v>
      </c>
      <c r="Y168" s="257" t="s">
        <v>1007</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40"/>
      <c r="S169" s="120"/>
      <c r="T169" s="260"/>
      <c r="U169" s="120"/>
      <c r="V169" s="120"/>
      <c r="W169" s="117"/>
      <c r="X169" s="117">
        <f t="shared" si="2"/>
        <v>0</v>
      </c>
      <c r="Y169" s="245"/>
    </row>
    <row r="170" spans="1:25" ht="15.75">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40"/>
      <c r="S170" s="120"/>
      <c r="T170" s="260"/>
      <c r="U170" s="120"/>
      <c r="V170" s="120"/>
      <c r="W170" s="117"/>
      <c r="X170" s="117">
        <f t="shared" si="2"/>
        <v>0</v>
      </c>
      <c r="Y170" s="97"/>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40"/>
      <c r="S171" s="120"/>
      <c r="T171" s="260"/>
      <c r="U171" s="120"/>
      <c r="V171" s="120"/>
      <c r="W171" s="117"/>
      <c r="X171" s="117">
        <f t="shared" si="2"/>
        <v>0</v>
      </c>
      <c r="Y171" s="97"/>
    </row>
    <row r="172" spans="1:25" ht="63">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40"/>
      <c r="S172" s="121"/>
      <c r="T172" s="345"/>
      <c r="U172" s="120"/>
      <c r="V172" s="120"/>
      <c r="W172" s="117"/>
      <c r="X172" s="117">
        <f t="shared" si="2"/>
        <v>0</v>
      </c>
      <c r="Y172" s="135"/>
    </row>
    <row r="173" spans="1:25" ht="31.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40"/>
      <c r="S173" s="120"/>
      <c r="T173" s="260"/>
      <c r="U173" s="120"/>
      <c r="V173" s="120"/>
      <c r="W173" s="117"/>
      <c r="X173" s="117">
        <f t="shared" si="2"/>
        <v>0</v>
      </c>
      <c r="Y173" s="97"/>
    </row>
    <row r="174" spans="1:25" ht="31.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40"/>
      <c r="S174" s="120"/>
      <c r="T174" s="260"/>
      <c r="U174" s="120"/>
      <c r="V174" s="120"/>
      <c r="W174" s="117"/>
      <c r="X174" s="117">
        <f t="shared" si="2"/>
        <v>0</v>
      </c>
      <c r="Y174" s="97"/>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40"/>
      <c r="S175" s="120"/>
      <c r="T175" s="260"/>
      <c r="U175" s="120"/>
      <c r="V175" s="120"/>
      <c r="W175" s="117"/>
      <c r="X175" s="117">
        <f t="shared" si="2"/>
        <v>0</v>
      </c>
      <c r="Y175" s="97"/>
    </row>
    <row r="176" spans="1:25" ht="31.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40"/>
      <c r="S176" s="120"/>
      <c r="T176" s="260"/>
      <c r="U176" s="120"/>
      <c r="V176" s="120"/>
      <c r="W176" s="117"/>
      <c r="X176" s="117">
        <f t="shared" si="2"/>
        <v>0</v>
      </c>
      <c r="Y176" s="97"/>
    </row>
    <row r="177" spans="1:25" ht="31.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40"/>
      <c r="S177" s="120"/>
      <c r="T177" s="260"/>
      <c r="U177" s="120"/>
      <c r="V177" s="120"/>
      <c r="W177" s="117"/>
      <c r="X177" s="117">
        <f t="shared" si="2"/>
        <v>0</v>
      </c>
      <c r="Y177" s="97"/>
    </row>
    <row r="178" spans="1:25" ht="78.75">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40"/>
      <c r="S178" s="120"/>
      <c r="T178" s="260"/>
      <c r="U178" s="120"/>
      <c r="V178" s="120"/>
      <c r="W178" s="117"/>
      <c r="X178" s="117">
        <f t="shared" si="2"/>
        <v>0</v>
      </c>
      <c r="Y178" s="97"/>
    </row>
    <row r="179" spans="1:25" ht="110.25">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40"/>
      <c r="S179" s="120"/>
      <c r="T179" s="260"/>
      <c r="U179" s="120"/>
      <c r="V179" s="120"/>
      <c r="W179" s="117"/>
      <c r="X179" s="117">
        <f t="shared" si="2"/>
        <v>0</v>
      </c>
      <c r="Y179" s="97"/>
    </row>
    <row r="180" spans="1:25" ht="47.2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40"/>
      <c r="S180" s="120"/>
      <c r="T180" s="260"/>
      <c r="U180" s="120"/>
      <c r="V180" s="120"/>
      <c r="W180" s="117"/>
      <c r="X180" s="117">
        <f t="shared" si="2"/>
        <v>0</v>
      </c>
      <c r="Y180" s="97"/>
    </row>
    <row r="181" spans="1:25" ht="47.2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40"/>
      <c r="S181" s="122"/>
      <c r="T181" s="344"/>
      <c r="U181" s="120"/>
      <c r="V181" s="120"/>
      <c r="W181" s="117"/>
      <c r="X181" s="117">
        <f t="shared" si="2"/>
        <v>0</v>
      </c>
      <c r="Y181" s="97"/>
    </row>
    <row r="182" spans="1:25" ht="47.2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40"/>
      <c r="S182" s="120"/>
      <c r="T182" s="260"/>
      <c r="U182" s="120"/>
      <c r="V182" s="120"/>
      <c r="W182" s="117"/>
      <c r="X182" s="117">
        <f t="shared" si="2"/>
        <v>0</v>
      </c>
      <c r="Y182" s="97"/>
    </row>
    <row r="183" spans="1:25" ht="31.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40"/>
      <c r="S183" s="122"/>
      <c r="T183" s="344"/>
      <c r="U183" s="120"/>
      <c r="V183" s="120"/>
      <c r="W183" s="117"/>
      <c r="X183" s="117">
        <f t="shared" si="2"/>
        <v>0</v>
      </c>
      <c r="Y183" s="97"/>
    </row>
    <row r="184" spans="1:25" ht="189">
      <c r="A184" s="469"/>
      <c r="B184" s="476" t="s">
        <v>282</v>
      </c>
      <c r="C184" s="476" t="s">
        <v>230</v>
      </c>
      <c r="D184" s="106">
        <v>175</v>
      </c>
      <c r="E184" s="106" t="s">
        <v>231</v>
      </c>
      <c r="F184" s="167"/>
      <c r="G184" s="167"/>
      <c r="H184" s="167"/>
      <c r="I184" s="167"/>
      <c r="J184" s="116">
        <f t="shared" si="15"/>
        <v>0</v>
      </c>
      <c r="K184" s="168"/>
      <c r="L184" s="168"/>
      <c r="M184" s="167"/>
      <c r="N184" s="167"/>
      <c r="O184" s="167"/>
      <c r="P184" s="116">
        <f t="shared" si="16"/>
        <v>0</v>
      </c>
      <c r="Q184" s="167"/>
      <c r="R184" s="260"/>
      <c r="S184" s="168"/>
      <c r="T184" s="168">
        <v>46.45</v>
      </c>
      <c r="U184" s="168"/>
      <c r="V184" s="168"/>
      <c r="W184" s="117"/>
      <c r="X184" s="117">
        <f t="shared" si="2"/>
        <v>46.45</v>
      </c>
      <c r="Y184" s="97" t="s">
        <v>685</v>
      </c>
    </row>
    <row r="185" spans="1:25" ht="409.5">
      <c r="A185" s="469"/>
      <c r="B185" s="469"/>
      <c r="C185" s="469"/>
      <c r="D185" s="106">
        <v>176</v>
      </c>
      <c r="E185" s="106" t="s">
        <v>232</v>
      </c>
      <c r="F185" s="120"/>
      <c r="G185" s="120"/>
      <c r="H185" s="120"/>
      <c r="I185" s="120"/>
      <c r="J185" s="116">
        <f t="shared" si="15"/>
        <v>0</v>
      </c>
      <c r="K185" s="120"/>
      <c r="L185" s="120"/>
      <c r="M185" s="120"/>
      <c r="N185" s="120"/>
      <c r="O185" s="120"/>
      <c r="P185" s="116">
        <f t="shared" si="16"/>
        <v>0</v>
      </c>
      <c r="Q185" s="121"/>
      <c r="R185" s="346">
        <v>7</v>
      </c>
      <c r="S185" s="121"/>
      <c r="T185" s="346">
        <v>13.92</v>
      </c>
      <c r="U185" s="120"/>
      <c r="V185" s="120"/>
      <c r="W185" s="117"/>
      <c r="X185" s="117">
        <f t="shared" si="2"/>
        <v>20.92</v>
      </c>
      <c r="Y185" s="135" t="s">
        <v>686</v>
      </c>
    </row>
    <row r="186" spans="1:25" ht="29.25" customHeight="1">
      <c r="A186" s="469"/>
      <c r="B186" s="469"/>
      <c r="C186" s="469"/>
      <c r="D186" s="106">
        <v>177</v>
      </c>
      <c r="E186" s="106" t="s">
        <v>233</v>
      </c>
      <c r="F186" s="120"/>
      <c r="G186" s="120"/>
      <c r="H186" s="120"/>
      <c r="I186" s="120"/>
      <c r="J186" s="116">
        <f t="shared" si="15"/>
        <v>0</v>
      </c>
      <c r="K186" s="120"/>
      <c r="L186" s="120"/>
      <c r="M186" s="120"/>
      <c r="N186" s="120"/>
      <c r="O186" s="120"/>
      <c r="P186" s="116">
        <f t="shared" si="16"/>
        <v>0</v>
      </c>
      <c r="Q186" s="120"/>
      <c r="R186" s="260"/>
      <c r="S186" s="120"/>
      <c r="T186" s="260"/>
      <c r="U186" s="120"/>
      <c r="V186" s="120"/>
      <c r="W186" s="117"/>
      <c r="X186" s="117">
        <f t="shared" si="2"/>
        <v>0</v>
      </c>
      <c r="Y186" s="135"/>
    </row>
    <row r="187" spans="1:25" ht="63">
      <c r="A187" s="469"/>
      <c r="B187" s="476" t="s">
        <v>283</v>
      </c>
      <c r="C187" s="476" t="s">
        <v>284</v>
      </c>
      <c r="D187" s="106">
        <v>178</v>
      </c>
      <c r="E187" s="106" t="s">
        <v>285</v>
      </c>
      <c r="F187" s="120"/>
      <c r="G187" s="120"/>
      <c r="H187" s="120"/>
      <c r="I187" s="120"/>
      <c r="J187" s="116">
        <f t="shared" si="15"/>
        <v>0</v>
      </c>
      <c r="K187" s="120"/>
      <c r="L187" s="120"/>
      <c r="M187" s="120"/>
      <c r="N187" s="120"/>
      <c r="O187" s="120"/>
      <c r="P187" s="116">
        <f t="shared" si="16"/>
        <v>0</v>
      </c>
      <c r="Q187" s="120"/>
      <c r="R187" s="260"/>
      <c r="S187" s="120"/>
      <c r="T187" s="260"/>
      <c r="U187" s="120"/>
      <c r="V187" s="120"/>
      <c r="W187" s="117"/>
      <c r="X187" s="117">
        <f t="shared" si="2"/>
        <v>0</v>
      </c>
      <c r="Y187" s="97"/>
    </row>
    <row r="188" spans="1:25" ht="15.75">
      <c r="A188" s="469"/>
      <c r="B188" s="469"/>
      <c r="C188" s="469"/>
      <c r="D188" s="106">
        <v>179</v>
      </c>
      <c r="E188" s="106" t="s">
        <v>125</v>
      </c>
      <c r="F188" s="120"/>
      <c r="G188" s="120"/>
      <c r="H188" s="120"/>
      <c r="I188" s="120"/>
      <c r="J188" s="116">
        <f t="shared" si="15"/>
        <v>0</v>
      </c>
      <c r="K188" s="120"/>
      <c r="L188" s="120"/>
      <c r="M188" s="120"/>
      <c r="N188" s="120"/>
      <c r="O188" s="120"/>
      <c r="P188" s="116">
        <f t="shared" si="16"/>
        <v>0</v>
      </c>
      <c r="Q188" s="120"/>
      <c r="R188" s="260"/>
      <c r="S188" s="120"/>
      <c r="T188" s="260"/>
      <c r="U188" s="120"/>
      <c r="V188" s="120"/>
      <c r="W188" s="117"/>
      <c r="X188" s="117">
        <f t="shared" si="2"/>
        <v>0</v>
      </c>
      <c r="Y188" s="252"/>
    </row>
    <row r="189" spans="1:25" ht="47.25">
      <c r="A189" s="469"/>
      <c r="B189" s="469"/>
      <c r="C189" s="469"/>
      <c r="D189" s="106">
        <v>180</v>
      </c>
      <c r="E189" s="106" t="s">
        <v>286</v>
      </c>
      <c r="F189" s="120"/>
      <c r="G189" s="120"/>
      <c r="H189" s="120"/>
      <c r="I189" s="120"/>
      <c r="J189" s="116">
        <f t="shared" si="15"/>
        <v>0</v>
      </c>
      <c r="K189" s="120"/>
      <c r="L189" s="120"/>
      <c r="M189" s="120"/>
      <c r="N189" s="120"/>
      <c r="O189" s="122"/>
      <c r="P189" s="117">
        <f t="shared" si="16"/>
        <v>0</v>
      </c>
      <c r="Q189" s="120"/>
      <c r="R189" s="260"/>
      <c r="S189" s="121"/>
      <c r="T189" s="345"/>
      <c r="U189" s="120"/>
      <c r="V189" s="120"/>
      <c r="W189" s="117"/>
      <c r="X189" s="117">
        <f t="shared" si="2"/>
        <v>0</v>
      </c>
      <c r="Y189" s="252"/>
    </row>
    <row r="190" spans="1:25" ht="63">
      <c r="A190" s="469"/>
      <c r="B190" s="469"/>
      <c r="C190" s="469"/>
      <c r="D190" s="106">
        <v>181</v>
      </c>
      <c r="E190" s="106" t="s">
        <v>287</v>
      </c>
      <c r="F190" s="120"/>
      <c r="G190" s="120"/>
      <c r="H190" s="120"/>
      <c r="I190" s="120"/>
      <c r="J190" s="116">
        <f t="shared" si="15"/>
        <v>0</v>
      </c>
      <c r="K190" s="120"/>
      <c r="L190" s="120"/>
      <c r="M190" s="120"/>
      <c r="N190" s="120"/>
      <c r="O190" s="120"/>
      <c r="P190" s="116">
        <f t="shared" si="16"/>
        <v>0</v>
      </c>
      <c r="Q190" s="120"/>
      <c r="R190" s="260"/>
      <c r="S190" s="120"/>
      <c r="T190" s="260"/>
      <c r="U190" s="120"/>
      <c r="V190" s="120"/>
      <c r="W190" s="117"/>
      <c r="X190" s="117">
        <f t="shared" si="2"/>
        <v>0</v>
      </c>
      <c r="Y190" s="252"/>
    </row>
    <row r="191" spans="1:25" ht="31.5">
      <c r="A191" s="469"/>
      <c r="B191" s="469"/>
      <c r="C191" s="469"/>
      <c r="D191" s="106">
        <v>182</v>
      </c>
      <c r="E191" s="106" t="s">
        <v>288</v>
      </c>
      <c r="F191" s="120"/>
      <c r="G191" s="120"/>
      <c r="H191" s="120"/>
      <c r="I191" s="120"/>
      <c r="J191" s="116">
        <f t="shared" si="15"/>
        <v>0</v>
      </c>
      <c r="K191" s="120"/>
      <c r="L191" s="120"/>
      <c r="M191" s="120"/>
      <c r="N191" s="120"/>
      <c r="O191" s="120"/>
      <c r="P191" s="116">
        <f t="shared" si="16"/>
        <v>0</v>
      </c>
      <c r="Q191" s="120"/>
      <c r="R191" s="260"/>
      <c r="S191" s="122"/>
      <c r="T191" s="344"/>
      <c r="U191" s="120"/>
      <c r="V191" s="120"/>
      <c r="W191" s="117"/>
      <c r="X191" s="117">
        <f t="shared" si="2"/>
        <v>0</v>
      </c>
      <c r="Y191" s="252"/>
    </row>
    <row r="192" spans="1:25" ht="63">
      <c r="A192" s="469"/>
      <c r="B192" s="469"/>
      <c r="C192" s="469"/>
      <c r="D192" s="106">
        <v>183</v>
      </c>
      <c r="E192" s="106" t="s">
        <v>289</v>
      </c>
      <c r="F192" s="120"/>
      <c r="G192" s="120"/>
      <c r="H192" s="120"/>
      <c r="I192" s="120"/>
      <c r="J192" s="116">
        <f t="shared" si="15"/>
        <v>0</v>
      </c>
      <c r="K192" s="120"/>
      <c r="L192" s="120"/>
      <c r="M192" s="120"/>
      <c r="N192" s="120"/>
      <c r="O192" s="120"/>
      <c r="P192" s="116">
        <f t="shared" si="16"/>
        <v>0</v>
      </c>
      <c r="Q192" s="120"/>
      <c r="R192" s="260"/>
      <c r="S192" s="121"/>
      <c r="T192" s="124"/>
      <c r="U192" s="120"/>
      <c r="V192" s="120"/>
      <c r="W192" s="117"/>
      <c r="X192" s="117">
        <f t="shared" si="2"/>
        <v>0</v>
      </c>
      <c r="Y192" s="252"/>
    </row>
    <row r="193" spans="1:25" ht="78.75">
      <c r="A193" s="469"/>
      <c r="B193" s="106" t="s">
        <v>290</v>
      </c>
      <c r="C193" s="106" t="s">
        <v>291</v>
      </c>
      <c r="D193" s="106">
        <v>184</v>
      </c>
      <c r="E193" s="106" t="s">
        <v>292</v>
      </c>
      <c r="F193" s="120"/>
      <c r="G193" s="120"/>
      <c r="H193" s="120"/>
      <c r="I193" s="120"/>
      <c r="J193" s="116">
        <f t="shared" si="15"/>
        <v>0</v>
      </c>
      <c r="K193" s="120"/>
      <c r="L193" s="120"/>
      <c r="M193" s="120"/>
      <c r="N193" s="120"/>
      <c r="O193" s="120"/>
      <c r="P193" s="116">
        <f t="shared" si="16"/>
        <v>0</v>
      </c>
      <c r="Q193" s="120"/>
      <c r="R193" s="260"/>
      <c r="S193" s="122"/>
      <c r="T193" s="344"/>
      <c r="U193" s="120"/>
      <c r="V193" s="120"/>
      <c r="W193" s="117"/>
      <c r="X193" s="117">
        <f t="shared" si="2"/>
        <v>0</v>
      </c>
      <c r="Y193" s="252"/>
    </row>
    <row r="194" spans="1:25" ht="31.5">
      <c r="A194" s="469"/>
      <c r="B194" s="476" t="s">
        <v>293</v>
      </c>
      <c r="C194" s="476" t="s">
        <v>235</v>
      </c>
      <c r="D194" s="106">
        <v>185</v>
      </c>
      <c r="E194" s="106" t="s">
        <v>236</v>
      </c>
      <c r="F194" s="120"/>
      <c r="G194" s="120"/>
      <c r="H194" s="120"/>
      <c r="I194" s="120"/>
      <c r="J194" s="116">
        <f t="shared" si="15"/>
        <v>0</v>
      </c>
      <c r="K194" s="120"/>
      <c r="L194" s="120"/>
      <c r="M194" s="120"/>
      <c r="N194" s="120"/>
      <c r="O194" s="120"/>
      <c r="P194" s="116">
        <f t="shared" si="16"/>
        <v>0</v>
      </c>
      <c r="Q194" s="120"/>
      <c r="R194" s="260"/>
      <c r="S194" s="120"/>
      <c r="T194" s="124">
        <v>2157.6984159999997</v>
      </c>
      <c r="U194" s="120"/>
      <c r="V194" s="120"/>
      <c r="W194" s="117"/>
      <c r="X194" s="117">
        <f t="shared" si="2"/>
        <v>2157.6984159999997</v>
      </c>
      <c r="Y194" s="98" t="s">
        <v>992</v>
      </c>
    </row>
    <row r="195" spans="1:25" ht="315">
      <c r="A195" s="469"/>
      <c r="B195" s="469"/>
      <c r="C195" s="469"/>
      <c r="D195" s="106">
        <v>186</v>
      </c>
      <c r="E195" s="106" t="s">
        <v>237</v>
      </c>
      <c r="F195" s="120">
        <v>1.1025</v>
      </c>
      <c r="G195" s="120"/>
      <c r="H195" s="120"/>
      <c r="I195" s="120"/>
      <c r="J195" s="116">
        <f t="shared" si="15"/>
        <v>0</v>
      </c>
      <c r="K195" s="120"/>
      <c r="L195" s="120"/>
      <c r="M195" s="120"/>
      <c r="N195" s="120"/>
      <c r="O195" s="120"/>
      <c r="P195" s="116">
        <f t="shared" si="16"/>
        <v>0</v>
      </c>
      <c r="Q195" s="120"/>
      <c r="R195" s="260"/>
      <c r="S195" s="121"/>
      <c r="T195" s="344">
        <f>7.6+56.34</f>
        <v>63.940000000000005</v>
      </c>
      <c r="U195" s="120"/>
      <c r="V195" s="120"/>
      <c r="W195" s="117"/>
      <c r="X195" s="117">
        <f t="shared" si="2"/>
        <v>65.042500000000004</v>
      </c>
      <c r="Y195" s="97" t="s">
        <v>969</v>
      </c>
    </row>
    <row r="196" spans="1:25" ht="31.5">
      <c r="A196" s="469"/>
      <c r="B196" s="469"/>
      <c r="C196" s="469"/>
      <c r="D196" s="106">
        <v>187</v>
      </c>
      <c r="E196" s="106" t="s">
        <v>294</v>
      </c>
      <c r="F196" s="120"/>
      <c r="G196" s="120"/>
      <c r="H196" s="120"/>
      <c r="I196" s="120"/>
      <c r="J196" s="116">
        <f t="shared" si="15"/>
        <v>0</v>
      </c>
      <c r="K196" s="120"/>
      <c r="L196" s="120"/>
      <c r="M196" s="120"/>
      <c r="N196" s="120"/>
      <c r="O196" s="120"/>
      <c r="P196" s="116">
        <f t="shared" si="16"/>
        <v>0</v>
      </c>
      <c r="Q196" s="120"/>
      <c r="R196" s="260"/>
      <c r="S196" s="120"/>
      <c r="T196" s="140">
        <v>902.09699999999998</v>
      </c>
      <c r="U196" s="120"/>
      <c r="V196" s="120"/>
      <c r="W196" s="117"/>
      <c r="X196" s="117">
        <f t="shared" si="2"/>
        <v>902.09699999999998</v>
      </c>
      <c r="Y196" s="98" t="s">
        <v>993</v>
      </c>
    </row>
    <row r="197" spans="1:25" ht="31.5">
      <c r="A197" s="469"/>
      <c r="B197" s="469"/>
      <c r="C197" s="469"/>
      <c r="D197" s="106">
        <v>188</v>
      </c>
      <c r="E197" s="106" t="s">
        <v>238</v>
      </c>
      <c r="F197" s="120"/>
      <c r="G197" s="120"/>
      <c r="H197" s="120"/>
      <c r="I197" s="120"/>
      <c r="J197" s="116">
        <f t="shared" si="15"/>
        <v>0</v>
      </c>
      <c r="K197" s="120"/>
      <c r="L197" s="120"/>
      <c r="M197" s="120"/>
      <c r="N197" s="120"/>
      <c r="O197" s="120"/>
      <c r="P197" s="116">
        <f t="shared" si="16"/>
        <v>0</v>
      </c>
      <c r="Q197" s="120"/>
      <c r="R197" s="260"/>
      <c r="S197" s="120"/>
      <c r="T197" s="260"/>
      <c r="U197" s="120"/>
      <c r="V197" s="120"/>
      <c r="W197" s="117"/>
      <c r="X197" s="117">
        <f t="shared" si="2"/>
        <v>0</v>
      </c>
      <c r="Y197" s="97"/>
    </row>
    <row r="198" spans="1:25" ht="63">
      <c r="A198" s="469"/>
      <c r="B198" s="469"/>
      <c r="C198" s="469"/>
      <c r="D198" s="106">
        <v>189</v>
      </c>
      <c r="E198" s="106" t="s">
        <v>295</v>
      </c>
      <c r="F198" s="120"/>
      <c r="G198" s="120"/>
      <c r="H198" s="120"/>
      <c r="I198" s="120"/>
      <c r="J198" s="116">
        <f t="shared" si="15"/>
        <v>0</v>
      </c>
      <c r="K198" s="120"/>
      <c r="L198" s="120"/>
      <c r="M198" s="120"/>
      <c r="N198" s="120"/>
      <c r="O198" s="120"/>
      <c r="P198" s="116">
        <f t="shared" si="16"/>
        <v>0</v>
      </c>
      <c r="Q198" s="120"/>
      <c r="R198" s="260"/>
      <c r="S198" s="120"/>
      <c r="T198" s="260"/>
      <c r="U198" s="120"/>
      <c r="V198" s="120"/>
      <c r="W198" s="117"/>
      <c r="X198" s="117">
        <f t="shared" si="2"/>
        <v>0</v>
      </c>
      <c r="Y198" s="97"/>
    </row>
    <row r="199" spans="1:25" ht="63" hidden="1">
      <c r="A199" s="469"/>
      <c r="B199" s="469"/>
      <c r="C199" s="469"/>
      <c r="D199" s="106">
        <v>190</v>
      </c>
      <c r="E199" s="106" t="s">
        <v>296</v>
      </c>
      <c r="F199" s="120"/>
      <c r="G199" s="120"/>
      <c r="H199" s="120"/>
      <c r="I199" s="120"/>
      <c r="J199" s="116">
        <f t="shared" si="15"/>
        <v>0</v>
      </c>
      <c r="K199" s="120"/>
      <c r="L199" s="120"/>
      <c r="M199" s="120"/>
      <c r="N199" s="120"/>
      <c r="O199" s="120"/>
      <c r="P199" s="116">
        <f t="shared" si="16"/>
        <v>0</v>
      </c>
      <c r="Q199" s="120"/>
      <c r="R199" s="260"/>
      <c r="S199" s="121"/>
      <c r="T199" s="345"/>
      <c r="U199" s="120"/>
      <c r="V199" s="120"/>
      <c r="W199" s="117"/>
      <c r="X199" s="117">
        <f t="shared" si="2"/>
        <v>0</v>
      </c>
      <c r="Y199" s="97"/>
    </row>
    <row r="200" spans="1:25" ht="47.25">
      <c r="A200" s="469"/>
      <c r="B200" s="476" t="s">
        <v>297</v>
      </c>
      <c r="C200" s="476" t="s">
        <v>298</v>
      </c>
      <c r="D200" s="106">
        <v>191</v>
      </c>
      <c r="E200" s="106" t="s">
        <v>299</v>
      </c>
      <c r="F200" s="120"/>
      <c r="G200" s="120"/>
      <c r="H200" s="120"/>
      <c r="I200" s="120"/>
      <c r="J200" s="116">
        <f t="shared" si="15"/>
        <v>0</v>
      </c>
      <c r="K200" s="120"/>
      <c r="L200" s="120"/>
      <c r="M200" s="120"/>
      <c r="N200" s="120"/>
      <c r="O200" s="120"/>
      <c r="P200" s="116">
        <f t="shared" si="16"/>
        <v>0</v>
      </c>
      <c r="Q200" s="120"/>
      <c r="R200" s="260"/>
      <c r="S200" s="120"/>
      <c r="T200" s="260"/>
      <c r="U200" s="120"/>
      <c r="V200" s="120"/>
      <c r="W200" s="117"/>
      <c r="X200" s="117">
        <f t="shared" si="2"/>
        <v>0</v>
      </c>
      <c r="Y200" s="135"/>
    </row>
    <row r="201" spans="1:25" ht="47.25">
      <c r="A201" s="469"/>
      <c r="B201" s="469"/>
      <c r="C201" s="469"/>
      <c r="D201" s="106">
        <v>192</v>
      </c>
      <c r="E201" s="106" t="s">
        <v>300</v>
      </c>
      <c r="F201" s="120"/>
      <c r="G201" s="120"/>
      <c r="H201" s="120"/>
      <c r="I201" s="121"/>
      <c r="J201" s="125">
        <f t="shared" si="15"/>
        <v>0</v>
      </c>
      <c r="K201" s="120"/>
      <c r="L201" s="120"/>
      <c r="M201" s="120"/>
      <c r="N201" s="120"/>
      <c r="O201" s="120"/>
      <c r="P201" s="116">
        <f t="shared" si="16"/>
        <v>0</v>
      </c>
      <c r="Q201" s="120"/>
      <c r="R201" s="150"/>
      <c r="S201" s="122"/>
      <c r="T201" s="134"/>
      <c r="U201" s="120"/>
      <c r="V201" s="120"/>
      <c r="W201" s="117"/>
      <c r="X201" s="117">
        <f t="shared" si="2"/>
        <v>0</v>
      </c>
      <c r="Y201" s="135"/>
    </row>
    <row r="202" spans="1:25" ht="63">
      <c r="A202" s="469"/>
      <c r="B202" s="476" t="s">
        <v>301</v>
      </c>
      <c r="C202" s="476" t="s">
        <v>241</v>
      </c>
      <c r="D202" s="106">
        <v>193</v>
      </c>
      <c r="E202" s="106" t="s">
        <v>302</v>
      </c>
      <c r="F202" s="120"/>
      <c r="G202" s="120"/>
      <c r="H202" s="120"/>
      <c r="I202" s="120"/>
      <c r="J202" s="116">
        <f t="shared" si="15"/>
        <v>0</v>
      </c>
      <c r="K202" s="120"/>
      <c r="L202" s="120"/>
      <c r="M202" s="120"/>
      <c r="N202" s="120"/>
      <c r="O202" s="120"/>
      <c r="P202" s="116">
        <f t="shared" si="16"/>
        <v>0</v>
      </c>
      <c r="Q202" s="120"/>
      <c r="R202" s="150"/>
      <c r="S202" s="122"/>
      <c r="T202" s="119"/>
      <c r="U202" s="121"/>
      <c r="V202" s="121"/>
      <c r="W202" s="117"/>
      <c r="X202" s="117">
        <f t="shared" si="2"/>
        <v>0</v>
      </c>
      <c r="Y202" s="97"/>
    </row>
    <row r="203" spans="1:25" ht="47.25">
      <c r="A203" s="469"/>
      <c r="B203" s="469"/>
      <c r="C203" s="469"/>
      <c r="D203" s="106">
        <v>194</v>
      </c>
      <c r="E203" s="106" t="s">
        <v>242</v>
      </c>
      <c r="F203" s="120"/>
      <c r="G203" s="120"/>
      <c r="H203" s="120"/>
      <c r="I203" s="120"/>
      <c r="J203" s="116">
        <f t="shared" si="15"/>
        <v>0</v>
      </c>
      <c r="K203" s="120"/>
      <c r="L203" s="120"/>
      <c r="M203" s="120"/>
      <c r="N203" s="120"/>
      <c r="O203" s="120"/>
      <c r="P203" s="116">
        <f t="shared" si="16"/>
        <v>0</v>
      </c>
      <c r="Q203" s="120"/>
      <c r="R203" s="118"/>
      <c r="S203" s="120"/>
      <c r="T203" s="260">
        <v>90.49</v>
      </c>
      <c r="U203" s="120"/>
      <c r="V203" s="120"/>
      <c r="W203" s="117"/>
      <c r="X203" s="117">
        <f t="shared" si="2"/>
        <v>90.49</v>
      </c>
      <c r="Y203" s="98" t="s">
        <v>1221</v>
      </c>
    </row>
    <row r="204" spans="1:25" ht="63">
      <c r="A204" s="469"/>
      <c r="B204" s="476" t="s">
        <v>303</v>
      </c>
      <c r="C204" s="476" t="s">
        <v>304</v>
      </c>
      <c r="D204" s="106">
        <v>195</v>
      </c>
      <c r="E204" s="106" t="s">
        <v>305</v>
      </c>
      <c r="F204" s="120"/>
      <c r="G204" s="120"/>
      <c r="H204" s="120"/>
      <c r="I204" s="120"/>
      <c r="J204" s="116">
        <f t="shared" si="15"/>
        <v>0</v>
      </c>
      <c r="K204" s="120"/>
      <c r="L204" s="120"/>
      <c r="M204" s="120"/>
      <c r="N204" s="120"/>
      <c r="O204" s="120"/>
      <c r="P204" s="116">
        <f t="shared" si="16"/>
        <v>0</v>
      </c>
      <c r="Q204" s="120"/>
      <c r="R204" s="118"/>
      <c r="S204" s="122"/>
      <c r="T204" s="134"/>
      <c r="U204" s="120"/>
      <c r="V204" s="120"/>
      <c r="W204" s="117"/>
      <c r="X204" s="117">
        <f t="shared" si="2"/>
        <v>0</v>
      </c>
      <c r="Y204" s="97"/>
    </row>
    <row r="205" spans="1:25" ht="31.5">
      <c r="A205" s="469"/>
      <c r="B205" s="469"/>
      <c r="C205" s="469"/>
      <c r="D205" s="106">
        <v>196</v>
      </c>
      <c r="E205" s="106" t="s">
        <v>306</v>
      </c>
      <c r="F205" s="120"/>
      <c r="G205" s="120"/>
      <c r="H205" s="120"/>
      <c r="I205" s="120"/>
      <c r="J205" s="116">
        <f t="shared" si="15"/>
        <v>0</v>
      </c>
      <c r="K205" s="120"/>
      <c r="L205" s="120"/>
      <c r="M205" s="120"/>
      <c r="N205" s="120"/>
      <c r="O205" s="120"/>
      <c r="P205" s="116">
        <f t="shared" si="16"/>
        <v>0</v>
      </c>
      <c r="Q205" s="120"/>
      <c r="R205" s="118"/>
      <c r="S205" s="120"/>
      <c r="T205" s="118"/>
      <c r="U205" s="120"/>
      <c r="V205" s="120"/>
      <c r="W205" s="117"/>
      <c r="X205" s="117">
        <f t="shared" si="2"/>
        <v>0</v>
      </c>
      <c r="Y205" s="97"/>
    </row>
    <row r="206" spans="1:25" ht="31.5">
      <c r="A206" s="469"/>
      <c r="B206" s="469"/>
      <c r="C206" s="469"/>
      <c r="D206" s="106">
        <v>197</v>
      </c>
      <c r="E206" s="106" t="s">
        <v>307</v>
      </c>
      <c r="F206" s="135"/>
      <c r="G206" s="135"/>
      <c r="H206" s="135"/>
      <c r="I206" s="135"/>
      <c r="J206" s="116">
        <f t="shared" si="15"/>
        <v>0</v>
      </c>
      <c r="K206" s="135"/>
      <c r="L206" s="135"/>
      <c r="M206" s="135"/>
      <c r="N206" s="135"/>
      <c r="O206" s="135"/>
      <c r="P206" s="116">
        <f t="shared" si="16"/>
        <v>0</v>
      </c>
      <c r="Q206" s="135"/>
      <c r="R206" s="118"/>
      <c r="S206" s="170"/>
      <c r="T206" s="119"/>
      <c r="U206" s="129"/>
      <c r="V206" s="129"/>
      <c r="W206" s="171"/>
      <c r="X206" s="117">
        <f t="shared" si="2"/>
        <v>0</v>
      </c>
      <c r="Y206" s="97"/>
    </row>
    <row r="207" spans="1:25" ht="78.75">
      <c r="A207" s="469"/>
      <c r="B207" s="106" t="s">
        <v>308</v>
      </c>
      <c r="C207" s="106" t="s">
        <v>246</v>
      </c>
      <c r="D207" s="106">
        <v>198</v>
      </c>
      <c r="E207" s="106" t="s">
        <v>247</v>
      </c>
      <c r="F207" s="120"/>
      <c r="G207" s="120"/>
      <c r="H207" s="120"/>
      <c r="I207" s="120"/>
      <c r="J207" s="116">
        <f t="shared" si="15"/>
        <v>0</v>
      </c>
      <c r="K207" s="120"/>
      <c r="L207" s="120"/>
      <c r="M207" s="120"/>
      <c r="N207" s="120"/>
      <c r="O207" s="120"/>
      <c r="P207" s="116">
        <f t="shared" si="16"/>
        <v>0</v>
      </c>
      <c r="Q207" s="120"/>
      <c r="R207" s="118"/>
      <c r="S207" s="120"/>
      <c r="T207" s="118"/>
      <c r="U207" s="120"/>
      <c r="V207" s="120"/>
      <c r="W207" s="117"/>
      <c r="X207" s="117">
        <f t="shared" si="2"/>
        <v>0</v>
      </c>
      <c r="Y207" s="97"/>
    </row>
    <row r="208" spans="1:25" ht="31.5">
      <c r="A208" s="469"/>
      <c r="B208" s="106" t="s">
        <v>309</v>
      </c>
      <c r="C208" s="106" t="s">
        <v>249</v>
      </c>
      <c r="D208" s="106">
        <v>199</v>
      </c>
      <c r="E208" s="106" t="s">
        <v>250</v>
      </c>
      <c r="F208" s="151"/>
      <c r="G208" s="151"/>
      <c r="H208" s="151"/>
      <c r="I208" s="151"/>
      <c r="J208" s="116">
        <f t="shared" si="15"/>
        <v>0</v>
      </c>
      <c r="K208" s="151"/>
      <c r="L208" s="151"/>
      <c r="M208" s="151"/>
      <c r="N208" s="151"/>
      <c r="O208" s="151"/>
      <c r="P208" s="116">
        <f t="shared" si="16"/>
        <v>0</v>
      </c>
      <c r="Q208" s="151"/>
      <c r="R208" s="118"/>
      <c r="S208" s="151"/>
      <c r="T208" s="118">
        <v>84.55</v>
      </c>
      <c r="U208" s="151"/>
      <c r="V208" s="151"/>
      <c r="W208" s="117"/>
      <c r="X208" s="117">
        <f t="shared" si="2"/>
        <v>84.55</v>
      </c>
      <c r="Y208" s="98" t="s">
        <v>982</v>
      </c>
    </row>
    <row r="209" spans="1:25" ht="47.25">
      <c r="A209" s="469"/>
      <c r="B209" s="106" t="s">
        <v>310</v>
      </c>
      <c r="C209" s="172" t="s">
        <v>311</v>
      </c>
      <c r="D209" s="106">
        <v>200</v>
      </c>
      <c r="E209" s="106" t="s">
        <v>312</v>
      </c>
      <c r="F209" s="173"/>
      <c r="G209" s="173"/>
      <c r="H209" s="173"/>
      <c r="I209" s="173"/>
      <c r="J209" s="116">
        <f t="shared" si="15"/>
        <v>0</v>
      </c>
      <c r="K209" s="173"/>
      <c r="L209" s="173"/>
      <c r="M209" s="173"/>
      <c r="N209" s="173"/>
      <c r="O209" s="173"/>
      <c r="P209" s="116">
        <f t="shared" si="16"/>
        <v>0</v>
      </c>
      <c r="Q209" s="173"/>
      <c r="R209" s="173"/>
      <c r="S209" s="173"/>
      <c r="T209" s="173"/>
      <c r="U209" s="173"/>
      <c r="V209" s="173"/>
      <c r="W209" s="117"/>
      <c r="X209" s="117">
        <f t="shared" si="2"/>
        <v>0</v>
      </c>
      <c r="Y209" s="135"/>
    </row>
    <row r="210" spans="1:25" ht="110.25">
      <c r="A210" s="469"/>
      <c r="B210" s="174" t="s">
        <v>313</v>
      </c>
      <c r="C210" s="174" t="s">
        <v>314</v>
      </c>
      <c r="D210" s="175">
        <v>201</v>
      </c>
      <c r="E210" s="176" t="s">
        <v>315</v>
      </c>
      <c r="F210" s="173"/>
      <c r="G210" s="173"/>
      <c r="H210" s="173"/>
      <c r="I210" s="173"/>
      <c r="J210" s="116">
        <f t="shared" si="15"/>
        <v>0</v>
      </c>
      <c r="K210" s="173"/>
      <c r="L210" s="173"/>
      <c r="M210" s="173"/>
      <c r="N210" s="173"/>
      <c r="O210" s="173"/>
      <c r="P210" s="116">
        <f t="shared" si="16"/>
        <v>0</v>
      </c>
      <c r="Q210" s="173"/>
      <c r="R210" s="173"/>
      <c r="S210" s="173"/>
      <c r="T210" s="173">
        <v>38.679200000000002</v>
      </c>
      <c r="U210" s="173"/>
      <c r="V210" s="173"/>
      <c r="W210" s="117"/>
      <c r="X210" s="117">
        <f t="shared" si="2"/>
        <v>38.679200000000002</v>
      </c>
      <c r="Y210" s="173" t="s">
        <v>1162</v>
      </c>
    </row>
    <row r="211" spans="1:25" ht="94.5">
      <c r="A211" s="469"/>
      <c r="B211" s="174" t="s">
        <v>316</v>
      </c>
      <c r="C211" s="174" t="s">
        <v>317</v>
      </c>
      <c r="D211" s="175">
        <v>202</v>
      </c>
      <c r="E211" s="176" t="s">
        <v>318</v>
      </c>
      <c r="F211" s="118"/>
      <c r="G211" s="173"/>
      <c r="H211" s="173"/>
      <c r="I211" s="173"/>
      <c r="J211" s="116">
        <f t="shared" si="15"/>
        <v>0</v>
      </c>
      <c r="K211" s="173"/>
      <c r="L211" s="173"/>
      <c r="M211" s="173"/>
      <c r="N211" s="173"/>
      <c r="O211" s="173"/>
      <c r="P211" s="116">
        <f t="shared" si="16"/>
        <v>0</v>
      </c>
      <c r="Q211" s="173"/>
      <c r="R211" s="173"/>
      <c r="S211" s="173"/>
      <c r="T211" s="173">
        <v>780.88400000000001</v>
      </c>
      <c r="U211" s="173"/>
      <c r="V211" s="173"/>
      <c r="W211" s="117"/>
      <c r="X211" s="117">
        <f t="shared" si="2"/>
        <v>780.88400000000001</v>
      </c>
      <c r="Y211" s="173" t="s">
        <v>559</v>
      </c>
    </row>
    <row r="212" spans="1:25" ht="157.5">
      <c r="A212" s="469"/>
      <c r="B212" s="174" t="s">
        <v>319</v>
      </c>
      <c r="C212" s="174" t="s">
        <v>320</v>
      </c>
      <c r="D212" s="175">
        <v>203</v>
      </c>
      <c r="E212" s="176" t="s">
        <v>321</v>
      </c>
      <c r="F212" s="118"/>
      <c r="G212" s="173"/>
      <c r="H212" s="173"/>
      <c r="I212" s="173"/>
      <c r="J212" s="116">
        <f t="shared" si="15"/>
        <v>0</v>
      </c>
      <c r="K212" s="173"/>
      <c r="L212" s="173"/>
      <c r="M212" s="173"/>
      <c r="N212" s="173"/>
      <c r="O212" s="173"/>
      <c r="P212" s="116">
        <f t="shared" si="16"/>
        <v>0</v>
      </c>
      <c r="Q212" s="173"/>
      <c r="R212" s="173"/>
      <c r="S212" s="173"/>
      <c r="T212" s="173"/>
      <c r="U212" s="173"/>
      <c r="V212" s="173"/>
      <c r="W212" s="117"/>
      <c r="X212" s="117">
        <f t="shared" si="2"/>
        <v>0</v>
      </c>
      <c r="Y212" s="97"/>
    </row>
    <row r="213" spans="1:25" ht="78.75">
      <c r="A213" s="469"/>
      <c r="B213" s="174" t="s">
        <v>322</v>
      </c>
      <c r="C213" s="174" t="s">
        <v>323</v>
      </c>
      <c r="D213" s="175">
        <v>204</v>
      </c>
      <c r="E213" s="176" t="s">
        <v>324</v>
      </c>
      <c r="F213" s="118"/>
      <c r="G213" s="173"/>
      <c r="H213" s="173"/>
      <c r="I213" s="173"/>
      <c r="J213" s="116">
        <f t="shared" si="15"/>
        <v>0</v>
      </c>
      <c r="K213" s="173"/>
      <c r="L213" s="173"/>
      <c r="M213" s="173"/>
      <c r="N213" s="173"/>
      <c r="O213" s="173"/>
      <c r="P213" s="116">
        <f t="shared" si="16"/>
        <v>0</v>
      </c>
      <c r="Q213" s="173"/>
      <c r="R213" s="173"/>
      <c r="S213" s="173"/>
      <c r="T213" s="347">
        <v>20.451000000000001</v>
      </c>
      <c r="U213" s="173"/>
      <c r="V213" s="173"/>
      <c r="W213" s="117"/>
      <c r="X213" s="178">
        <f t="shared" si="2"/>
        <v>20.451000000000001</v>
      </c>
      <c r="Y213" s="173" t="s">
        <v>676</v>
      </c>
    </row>
    <row r="214" spans="1:25" ht="47.25">
      <c r="A214" s="469"/>
      <c r="B214" s="174" t="s">
        <v>326</v>
      </c>
      <c r="C214" s="174" t="s">
        <v>291</v>
      </c>
      <c r="D214" s="175">
        <v>205</v>
      </c>
      <c r="E214" s="176" t="s">
        <v>327</v>
      </c>
      <c r="F214" s="118"/>
      <c r="G214" s="173"/>
      <c r="H214" s="173"/>
      <c r="I214" s="173"/>
      <c r="J214" s="116">
        <f t="shared" si="15"/>
        <v>0</v>
      </c>
      <c r="K214" s="173"/>
      <c r="L214" s="173">
        <v>0</v>
      </c>
      <c r="M214" s="173"/>
      <c r="N214" s="173"/>
      <c r="O214" s="173"/>
      <c r="P214" s="116">
        <f t="shared" si="16"/>
        <v>0</v>
      </c>
      <c r="Q214" s="173"/>
      <c r="R214" s="173"/>
      <c r="S214" s="173"/>
      <c r="T214" s="173"/>
      <c r="U214" s="173"/>
      <c r="V214" s="173"/>
      <c r="W214" s="117"/>
      <c r="X214" s="117">
        <f t="shared" si="2"/>
        <v>0</v>
      </c>
      <c r="Y214" s="173"/>
    </row>
    <row r="215" spans="1:25" ht="47.25">
      <c r="A215" s="469"/>
      <c r="B215" s="174" t="s">
        <v>329</v>
      </c>
      <c r="C215" s="174" t="s">
        <v>246</v>
      </c>
      <c r="D215" s="175">
        <v>206</v>
      </c>
      <c r="E215" s="176" t="s">
        <v>330</v>
      </c>
      <c r="F215" s="118"/>
      <c r="G215" s="173"/>
      <c r="H215" s="173"/>
      <c r="I215" s="173"/>
      <c r="J215" s="116">
        <f t="shared" si="15"/>
        <v>0</v>
      </c>
      <c r="K215" s="173"/>
      <c r="L215" s="173"/>
      <c r="M215" s="173"/>
      <c r="N215" s="173"/>
      <c r="O215" s="173"/>
      <c r="P215" s="116">
        <f t="shared" si="16"/>
        <v>0</v>
      </c>
      <c r="Q215" s="173"/>
      <c r="R215" s="173"/>
      <c r="S215" s="173"/>
      <c r="T215" s="173"/>
      <c r="U215" s="173"/>
      <c r="V215" s="173"/>
      <c r="W215" s="117"/>
      <c r="X215" s="117">
        <f t="shared" si="2"/>
        <v>0</v>
      </c>
      <c r="Y215" s="173"/>
    </row>
    <row r="216" spans="1:25" s="110" customFormat="1" ht="24" customHeight="1">
      <c r="A216" s="469"/>
      <c r="B216" s="478" t="s">
        <v>331</v>
      </c>
      <c r="C216" s="479"/>
      <c r="D216" s="479"/>
      <c r="E216" s="99"/>
      <c r="F216" s="100">
        <f t="shared" ref="F216:W216" si="17">SUM(F159:F215)</f>
        <v>1.1025</v>
      </c>
      <c r="G216" s="101">
        <f t="shared" si="17"/>
        <v>0</v>
      </c>
      <c r="H216" s="101">
        <f t="shared" si="17"/>
        <v>130</v>
      </c>
      <c r="I216" s="101">
        <f t="shared" si="17"/>
        <v>0</v>
      </c>
      <c r="J216" s="101">
        <f t="shared" si="17"/>
        <v>130</v>
      </c>
      <c r="K216" s="100">
        <f t="shared" si="17"/>
        <v>0</v>
      </c>
      <c r="L216" s="100">
        <f t="shared" si="17"/>
        <v>0</v>
      </c>
      <c r="M216" s="100">
        <f t="shared" si="17"/>
        <v>0</v>
      </c>
      <c r="N216" s="100">
        <f t="shared" si="17"/>
        <v>0</v>
      </c>
      <c r="O216" s="100">
        <f t="shared" si="17"/>
        <v>0</v>
      </c>
      <c r="P216" s="100">
        <f t="shared" si="17"/>
        <v>0</v>
      </c>
      <c r="Q216" s="100">
        <f t="shared" si="17"/>
        <v>0</v>
      </c>
      <c r="R216" s="100">
        <f t="shared" si="17"/>
        <v>7</v>
      </c>
      <c r="S216" s="101">
        <f t="shared" si="17"/>
        <v>0</v>
      </c>
      <c r="T216" s="101">
        <f t="shared" si="17"/>
        <v>4252.4756160000006</v>
      </c>
      <c r="U216" s="100">
        <f t="shared" si="17"/>
        <v>0</v>
      </c>
      <c r="V216" s="100">
        <f t="shared" si="17"/>
        <v>0</v>
      </c>
      <c r="W216" s="102">
        <f t="shared" si="17"/>
        <v>0</v>
      </c>
      <c r="X216" s="102">
        <f t="shared" si="2"/>
        <v>4390.5781160000006</v>
      </c>
      <c r="Y216" s="253"/>
    </row>
    <row r="217" spans="1:25" s="110" customFormat="1" ht="20.25" customHeight="1">
      <c r="A217" s="480" t="s">
        <v>332</v>
      </c>
      <c r="B217" s="479"/>
      <c r="C217" s="479"/>
      <c r="D217" s="479"/>
      <c r="E217" s="259"/>
      <c r="F217" s="104">
        <f t="shared" ref="F217:W217" si="18">F216+F158+F134+F93+F68</f>
        <v>130.52566000000002</v>
      </c>
      <c r="G217" s="105">
        <f t="shared" si="18"/>
        <v>0</v>
      </c>
      <c r="H217" s="105">
        <f t="shared" si="18"/>
        <v>130</v>
      </c>
      <c r="I217" s="105">
        <f t="shared" si="18"/>
        <v>8.65</v>
      </c>
      <c r="J217" s="105">
        <f t="shared" si="18"/>
        <v>138.65</v>
      </c>
      <c r="K217" s="104">
        <f t="shared" si="18"/>
        <v>0</v>
      </c>
      <c r="L217" s="104">
        <f t="shared" si="18"/>
        <v>21.315999999999999</v>
      </c>
      <c r="M217" s="104">
        <f t="shared" si="18"/>
        <v>0</v>
      </c>
      <c r="N217" s="104">
        <f t="shared" si="18"/>
        <v>0</v>
      </c>
      <c r="O217" s="104">
        <f t="shared" si="18"/>
        <v>90.955500000000001</v>
      </c>
      <c r="P217" s="104">
        <f t="shared" si="18"/>
        <v>90.955500000000001</v>
      </c>
      <c r="Q217" s="104">
        <f t="shared" si="18"/>
        <v>0</v>
      </c>
      <c r="R217" s="104">
        <f t="shared" si="18"/>
        <v>75.039999999999992</v>
      </c>
      <c r="S217" s="105">
        <f t="shared" si="18"/>
        <v>0</v>
      </c>
      <c r="T217" s="105">
        <f t="shared" si="18"/>
        <v>5352.2914160000009</v>
      </c>
      <c r="U217" s="104">
        <f t="shared" si="18"/>
        <v>0</v>
      </c>
      <c r="V217" s="104">
        <f t="shared" si="18"/>
        <v>3.7</v>
      </c>
      <c r="W217" s="104">
        <f t="shared" si="18"/>
        <v>0</v>
      </c>
      <c r="X217" s="104">
        <f t="shared" si="2"/>
        <v>5812.4785760000004</v>
      </c>
      <c r="Y217" s="266"/>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9"/>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9"/>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9"/>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9"/>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sheetData>
  <mergeCells count="98">
    <mergeCell ref="B216:D216"/>
    <mergeCell ref="A217:D217"/>
    <mergeCell ref="E1:L1"/>
    <mergeCell ref="A159:A216"/>
    <mergeCell ref="C159:C162"/>
    <mergeCell ref="A135:A158"/>
    <mergeCell ref="B135:B136"/>
    <mergeCell ref="B138:B144"/>
    <mergeCell ref="B145:B146"/>
    <mergeCell ref="B147:B149"/>
    <mergeCell ref="B150:B153"/>
    <mergeCell ref="B158:D158"/>
    <mergeCell ref="B173:B179"/>
    <mergeCell ref="C173:C179"/>
    <mergeCell ref="B180:B183"/>
    <mergeCell ref="C180:C183"/>
    <mergeCell ref="B184:B186"/>
    <mergeCell ref="C184:C186"/>
    <mergeCell ref="B187:B192"/>
    <mergeCell ref="B202:B203"/>
    <mergeCell ref="C202:C203"/>
    <mergeCell ref="B204:B206"/>
    <mergeCell ref="C204:C206"/>
    <mergeCell ref="C135:C136"/>
    <mergeCell ref="C138:C144"/>
    <mergeCell ref="C145:C146"/>
    <mergeCell ref="C147:C149"/>
    <mergeCell ref="C150:C153"/>
    <mergeCell ref="C187:C192"/>
    <mergeCell ref="B194:B199"/>
    <mergeCell ref="C194:C199"/>
    <mergeCell ref="B200:B201"/>
    <mergeCell ref="C200:C201"/>
    <mergeCell ref="B159:B162"/>
    <mergeCell ref="B163:B167"/>
    <mergeCell ref="C163:C167"/>
    <mergeCell ref="B168:B172"/>
    <mergeCell ref="C168:C172"/>
    <mergeCell ref="A69:A93"/>
    <mergeCell ref="B70:B74"/>
    <mergeCell ref="C70:C74"/>
    <mergeCell ref="C75:C78"/>
    <mergeCell ref="A94:A134"/>
    <mergeCell ref="B131:B132"/>
    <mergeCell ref="C131:C132"/>
    <mergeCell ref="B134:D134"/>
    <mergeCell ref="B128:B130"/>
    <mergeCell ref="C128:C130"/>
    <mergeCell ref="C106:C110"/>
    <mergeCell ref="B79:B85"/>
    <mergeCell ref="C79:C85"/>
    <mergeCell ref="B86:B89"/>
    <mergeCell ref="C86:C89"/>
    <mergeCell ref="B94:B103"/>
    <mergeCell ref="C94:C103"/>
    <mergeCell ref="B104:B105"/>
    <mergeCell ref="C104:C105"/>
    <mergeCell ref="B106:B110"/>
    <mergeCell ref="B119:B120"/>
    <mergeCell ref="C119:C120"/>
    <mergeCell ref="B122:B125"/>
    <mergeCell ref="C122:C125"/>
    <mergeCell ref="B111:B113"/>
    <mergeCell ref="C111:C113"/>
    <mergeCell ref="B114:B118"/>
    <mergeCell ref="C114:C118"/>
    <mergeCell ref="B93:D93"/>
    <mergeCell ref="A6:A68"/>
    <mergeCell ref="B6:B23"/>
    <mergeCell ref="C6:C23"/>
    <mergeCell ref="B24:B25"/>
    <mergeCell ref="C24:C25"/>
    <mergeCell ref="B68:D68"/>
    <mergeCell ref="B47:B56"/>
    <mergeCell ref="C47:C56"/>
    <mergeCell ref="B57:B66"/>
    <mergeCell ref="C57:C66"/>
    <mergeCell ref="B40:B46"/>
    <mergeCell ref="C40:C46"/>
    <mergeCell ref="B26:B36"/>
    <mergeCell ref="C26:C36"/>
    <mergeCell ref="B75:B78"/>
    <mergeCell ref="B37:B39"/>
    <mergeCell ref="C37:C39"/>
    <mergeCell ref="L4:M4"/>
    <mergeCell ref="N4:Q4"/>
    <mergeCell ref="R4:S4"/>
    <mergeCell ref="X3:Y3"/>
    <mergeCell ref="A4:A5"/>
    <mergeCell ref="B4:B5"/>
    <mergeCell ref="C4:C5"/>
    <mergeCell ref="D4:D5"/>
    <mergeCell ref="E4:E5"/>
    <mergeCell ref="H4:K4"/>
    <mergeCell ref="F4:G4"/>
    <mergeCell ref="Y4:Y5"/>
    <mergeCell ref="T4:U4"/>
    <mergeCell ref="V4:W4"/>
  </mergeCells>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sheetPr>
  <dimension ref="A1:Y972"/>
  <sheetViews>
    <sheetView topLeftCell="C1" workbookViewId="0">
      <pane ySplit="5" topLeftCell="A195" activePane="bottomLeft" state="frozen"/>
      <selection pane="bottomLeft" activeCell="L195" sqref="L195"/>
    </sheetView>
  </sheetViews>
  <sheetFormatPr defaultColWidth="14.42578125" defaultRowHeight="15" customHeight="1"/>
  <cols>
    <col min="1" max="1" width="5.140625" style="111" customWidth="1"/>
    <col min="2" max="2" width="7" style="111" customWidth="1"/>
    <col min="3" max="3" width="13" style="111" customWidth="1"/>
    <col min="4" max="4" width="8.140625" style="111" customWidth="1"/>
    <col min="5" max="5" width="25.42578125" style="111" customWidth="1"/>
    <col min="6" max="6" width="9.28515625" style="111" customWidth="1"/>
    <col min="7" max="7" width="7.5703125" style="111" hidden="1" customWidth="1"/>
    <col min="8" max="8" width="10.140625" style="111" customWidth="1"/>
    <col min="9" max="9" width="6.7109375" style="111" customWidth="1"/>
    <col min="10" max="10" width="9.7109375" style="111" customWidth="1"/>
    <col min="11" max="11" width="8.42578125" style="111" hidden="1" customWidth="1"/>
    <col min="12" max="12" width="10.5703125" style="111" customWidth="1"/>
    <col min="13" max="13" width="9.85546875" style="111" hidden="1" customWidth="1"/>
    <col min="14" max="14" width="7" style="111" customWidth="1"/>
    <col min="15" max="15" width="10.140625" style="111" customWidth="1"/>
    <col min="16" max="16" width="9.28515625" style="111" customWidth="1"/>
    <col min="17" max="17" width="8.140625" style="111" hidden="1" customWidth="1"/>
    <col min="18" max="18" width="9.5703125" style="111" customWidth="1"/>
    <col min="19" max="19" width="9" style="111" hidden="1" customWidth="1"/>
    <col min="20" max="20" width="10.7109375" style="111" customWidth="1"/>
    <col min="21" max="21" width="7.140625" style="111" hidden="1" customWidth="1"/>
    <col min="22" max="22" width="9.85546875" style="111" customWidth="1"/>
    <col min="23" max="23" width="9.140625" style="111" hidden="1" customWidth="1"/>
    <col min="24" max="24" width="9.42578125" style="111" customWidth="1"/>
    <col min="25" max="25" width="38.42578125" style="179"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8"/>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8"/>
    </row>
    <row r="3" spans="1:25" ht="22.5" customHeight="1">
      <c r="A3" s="38"/>
      <c r="B3" s="40"/>
      <c r="C3" s="40"/>
      <c r="D3" s="40"/>
      <c r="E3" s="40" t="s">
        <v>365</v>
      </c>
      <c r="F3" s="40"/>
      <c r="G3" s="40"/>
      <c r="H3" s="40"/>
      <c r="I3" s="40"/>
      <c r="J3" s="40"/>
      <c r="K3" s="40"/>
      <c r="L3" s="40"/>
      <c r="M3" s="40"/>
      <c r="N3" s="40"/>
      <c r="O3" s="40"/>
      <c r="P3" s="40"/>
      <c r="Q3" s="40"/>
      <c r="R3" s="40"/>
      <c r="S3" s="40"/>
      <c r="T3" s="40"/>
      <c r="U3" s="40"/>
      <c r="V3" s="40"/>
      <c r="W3" s="41"/>
      <c r="X3" s="491" t="s">
        <v>2</v>
      </c>
      <c r="Y3" s="492"/>
    </row>
    <row r="4" spans="1:25" ht="40.5" customHeight="1">
      <c r="A4" s="495" t="s">
        <v>3</v>
      </c>
      <c r="B4" s="495" t="s">
        <v>4</v>
      </c>
      <c r="C4" s="495" t="s">
        <v>5</v>
      </c>
      <c r="D4" s="495" t="s">
        <v>6</v>
      </c>
      <c r="E4" s="495" t="s">
        <v>7</v>
      </c>
      <c r="F4" s="488" t="s">
        <v>8</v>
      </c>
      <c r="G4" s="490"/>
      <c r="H4" s="488" t="s">
        <v>9</v>
      </c>
      <c r="I4" s="489"/>
      <c r="J4" s="489"/>
      <c r="K4" s="490"/>
      <c r="L4" s="488" t="s">
        <v>10</v>
      </c>
      <c r="M4" s="490"/>
      <c r="N4" s="488" t="s">
        <v>11</v>
      </c>
      <c r="O4" s="489"/>
      <c r="P4" s="489"/>
      <c r="Q4" s="490"/>
      <c r="R4" s="488" t="s">
        <v>12</v>
      </c>
      <c r="S4" s="490"/>
      <c r="T4" s="488" t="s">
        <v>13</v>
      </c>
      <c r="U4" s="490"/>
      <c r="V4" s="488" t="s">
        <v>14</v>
      </c>
      <c r="W4" s="490"/>
      <c r="X4" s="42" t="s">
        <v>15</v>
      </c>
      <c r="Y4" s="493" t="s">
        <v>16</v>
      </c>
    </row>
    <row r="5" spans="1:25" ht="60.75" customHeight="1">
      <c r="A5" s="496"/>
      <c r="B5" s="496"/>
      <c r="C5" s="496"/>
      <c r="D5" s="496"/>
      <c r="E5" s="496"/>
      <c r="F5" s="42" t="s">
        <v>17</v>
      </c>
      <c r="G5" s="42" t="s">
        <v>16</v>
      </c>
      <c r="H5" s="42" t="s">
        <v>18</v>
      </c>
      <c r="I5" s="42" t="s">
        <v>19</v>
      </c>
      <c r="J5" s="42" t="s">
        <v>20</v>
      </c>
      <c r="K5" s="42" t="s">
        <v>16</v>
      </c>
      <c r="L5" s="42" t="s">
        <v>17</v>
      </c>
      <c r="M5" s="42" t="s">
        <v>16</v>
      </c>
      <c r="N5" s="42" t="s">
        <v>1199</v>
      </c>
      <c r="O5" s="42" t="s">
        <v>21</v>
      </c>
      <c r="P5" s="42" t="s">
        <v>22</v>
      </c>
      <c r="Q5" s="42" t="s">
        <v>16</v>
      </c>
      <c r="R5" s="42" t="s">
        <v>17</v>
      </c>
      <c r="S5" s="42" t="s">
        <v>16</v>
      </c>
      <c r="T5" s="42" t="s">
        <v>17</v>
      </c>
      <c r="U5" s="42" t="s">
        <v>16</v>
      </c>
      <c r="V5" s="42" t="s">
        <v>17</v>
      </c>
      <c r="W5" s="42" t="s">
        <v>16</v>
      </c>
      <c r="X5" s="42" t="s">
        <v>23</v>
      </c>
      <c r="Y5" s="494"/>
    </row>
    <row r="6" spans="1:25" ht="39" customHeight="1">
      <c r="A6" s="499" t="s">
        <v>24</v>
      </c>
      <c r="B6" s="497" t="s">
        <v>25</v>
      </c>
      <c r="C6" s="497" t="s">
        <v>26</v>
      </c>
      <c r="D6" s="43">
        <v>1</v>
      </c>
      <c r="E6" s="67" t="s">
        <v>27</v>
      </c>
      <c r="F6" s="21"/>
      <c r="G6" s="21"/>
      <c r="H6" s="21"/>
      <c r="I6" s="21"/>
      <c r="J6" s="21">
        <f t="shared" ref="J6:J67" si="0">H6+I6</f>
        <v>0</v>
      </c>
      <c r="K6" s="21"/>
      <c r="L6" s="21"/>
      <c r="M6" s="21"/>
      <c r="N6" s="21"/>
      <c r="O6" s="21"/>
      <c r="P6" s="21">
        <f t="shared" ref="P6:P67" si="1">N6+O6</f>
        <v>0</v>
      </c>
      <c r="Q6" s="21"/>
      <c r="R6" s="21"/>
      <c r="S6" s="21"/>
      <c r="T6" s="21"/>
      <c r="U6" s="21"/>
      <c r="V6" s="21"/>
      <c r="W6" s="22"/>
      <c r="X6" s="22">
        <f t="shared" ref="X6:X217" si="2">F6+J6+L6+P6+R6+T6+V6</f>
        <v>0</v>
      </c>
      <c r="Y6" s="25"/>
    </row>
    <row r="7" spans="1:25" ht="47.25">
      <c r="A7" s="498"/>
      <c r="B7" s="498"/>
      <c r="C7" s="498"/>
      <c r="D7" s="43">
        <v>2</v>
      </c>
      <c r="E7" s="47" t="s">
        <v>28</v>
      </c>
      <c r="F7" s="21"/>
      <c r="G7" s="21"/>
      <c r="H7" s="21"/>
      <c r="I7" s="21"/>
      <c r="J7" s="21">
        <f t="shared" si="0"/>
        <v>0</v>
      </c>
      <c r="K7" s="21"/>
      <c r="L7" s="21"/>
      <c r="M7" s="21"/>
      <c r="N7" s="21"/>
      <c r="O7" s="181"/>
      <c r="P7" s="22">
        <f t="shared" si="1"/>
        <v>0</v>
      </c>
      <c r="Q7" s="182"/>
      <c r="R7" s="182"/>
      <c r="S7" s="183"/>
      <c r="T7" s="183"/>
      <c r="U7" s="21"/>
      <c r="V7" s="21"/>
      <c r="W7" s="22"/>
      <c r="X7" s="22">
        <f t="shared" si="2"/>
        <v>0</v>
      </c>
      <c r="Y7" s="25"/>
    </row>
    <row r="8" spans="1:25" ht="157.5">
      <c r="A8" s="498"/>
      <c r="B8" s="498"/>
      <c r="C8" s="498"/>
      <c r="D8" s="43">
        <v>3</v>
      </c>
      <c r="E8" s="43" t="s">
        <v>29</v>
      </c>
      <c r="F8" s="183">
        <v>16.974599999999999</v>
      </c>
      <c r="G8" s="182"/>
      <c r="H8" s="182"/>
      <c r="I8" s="182"/>
      <c r="J8" s="21">
        <f t="shared" si="0"/>
        <v>0</v>
      </c>
      <c r="K8" s="182"/>
      <c r="L8" s="182"/>
      <c r="M8" s="182"/>
      <c r="N8" s="182"/>
      <c r="O8" s="182"/>
      <c r="P8" s="21">
        <f t="shared" si="1"/>
        <v>0</v>
      </c>
      <c r="Q8" s="182"/>
      <c r="R8" s="182"/>
      <c r="S8" s="182"/>
      <c r="T8" s="182"/>
      <c r="U8" s="21"/>
      <c r="V8" s="21"/>
      <c r="W8" s="22"/>
      <c r="X8" s="22">
        <f t="shared" si="2"/>
        <v>16.974599999999999</v>
      </c>
      <c r="Y8" s="25" t="s">
        <v>843</v>
      </c>
    </row>
    <row r="9" spans="1:25" ht="409.5">
      <c r="A9" s="498"/>
      <c r="B9" s="498"/>
      <c r="C9" s="498"/>
      <c r="D9" s="43">
        <v>4</v>
      </c>
      <c r="E9" s="43" t="s">
        <v>30</v>
      </c>
      <c r="F9" s="21"/>
      <c r="G9" s="21"/>
      <c r="H9" s="21"/>
      <c r="I9" s="21"/>
      <c r="J9" s="21">
        <f t="shared" si="0"/>
        <v>0</v>
      </c>
      <c r="K9" s="21"/>
      <c r="L9" s="21"/>
      <c r="M9" s="21"/>
      <c r="N9" s="21"/>
      <c r="O9" s="348">
        <v>24.192499999999999</v>
      </c>
      <c r="P9" s="21">
        <f t="shared" si="1"/>
        <v>24.192499999999999</v>
      </c>
      <c r="Q9" s="184"/>
      <c r="R9" s="356">
        <v>21.879000000000001</v>
      </c>
      <c r="S9" s="183"/>
      <c r="T9" s="349">
        <v>31.754000000000001</v>
      </c>
      <c r="U9" s="182"/>
      <c r="V9" s="182"/>
      <c r="W9" s="22"/>
      <c r="X9" s="22">
        <f t="shared" si="2"/>
        <v>77.825500000000005</v>
      </c>
      <c r="Y9" s="25" t="s">
        <v>844</v>
      </c>
    </row>
    <row r="10" spans="1:25" ht="111" customHeight="1">
      <c r="A10" s="498"/>
      <c r="B10" s="498"/>
      <c r="C10" s="498"/>
      <c r="D10" s="43">
        <v>5</v>
      </c>
      <c r="E10" s="43" t="s">
        <v>31</v>
      </c>
      <c r="F10" s="182"/>
      <c r="G10" s="182"/>
      <c r="H10" s="182"/>
      <c r="I10" s="182"/>
      <c r="J10" s="21">
        <f t="shared" si="0"/>
        <v>0</v>
      </c>
      <c r="K10" s="182"/>
      <c r="L10" s="182"/>
      <c r="M10" s="182"/>
      <c r="N10" s="182"/>
      <c r="O10" s="182"/>
      <c r="P10" s="21">
        <f t="shared" si="1"/>
        <v>0</v>
      </c>
      <c r="Q10" s="182"/>
      <c r="R10" s="182"/>
      <c r="S10" s="184"/>
      <c r="T10" s="350">
        <v>17.36</v>
      </c>
      <c r="U10" s="182"/>
      <c r="V10" s="182"/>
      <c r="W10" s="22"/>
      <c r="X10" s="22">
        <f t="shared" si="2"/>
        <v>17.36</v>
      </c>
      <c r="Y10" s="25" t="s">
        <v>845</v>
      </c>
    </row>
    <row r="11" spans="1:25" ht="204.75">
      <c r="A11" s="498"/>
      <c r="B11" s="498"/>
      <c r="C11" s="498"/>
      <c r="D11" s="43">
        <v>6</v>
      </c>
      <c r="E11" s="43" t="s">
        <v>32</v>
      </c>
      <c r="F11" s="182">
        <v>0.42</v>
      </c>
      <c r="G11" s="182"/>
      <c r="H11" s="182"/>
      <c r="I11" s="182"/>
      <c r="J11" s="21">
        <f t="shared" si="0"/>
        <v>0</v>
      </c>
      <c r="K11" s="182"/>
      <c r="L11" s="182"/>
      <c r="M11" s="182"/>
      <c r="N11" s="182"/>
      <c r="O11" s="182"/>
      <c r="P11" s="21">
        <f t="shared" si="1"/>
        <v>0</v>
      </c>
      <c r="Q11" s="182"/>
      <c r="R11" s="182"/>
      <c r="S11" s="183"/>
      <c r="T11" s="351">
        <v>0.92</v>
      </c>
      <c r="U11" s="182"/>
      <c r="V11" s="182"/>
      <c r="W11" s="22"/>
      <c r="X11" s="22">
        <f t="shared" si="2"/>
        <v>1.34</v>
      </c>
      <c r="Y11" s="25" t="s">
        <v>846</v>
      </c>
    </row>
    <row r="12" spans="1:25" ht="31.5">
      <c r="A12" s="498"/>
      <c r="B12" s="498"/>
      <c r="C12" s="498"/>
      <c r="D12" s="43">
        <v>7</v>
      </c>
      <c r="E12" s="43" t="s">
        <v>33</v>
      </c>
      <c r="F12" s="182"/>
      <c r="G12" s="182"/>
      <c r="H12" s="182"/>
      <c r="I12" s="182"/>
      <c r="J12" s="21">
        <f t="shared" si="0"/>
        <v>0</v>
      </c>
      <c r="K12" s="182"/>
      <c r="L12" s="182"/>
      <c r="M12" s="182"/>
      <c r="N12" s="182"/>
      <c r="O12" s="182"/>
      <c r="P12" s="21">
        <f t="shared" si="1"/>
        <v>0</v>
      </c>
      <c r="Q12" s="182"/>
      <c r="R12" s="182"/>
      <c r="S12" s="183"/>
      <c r="T12" s="183"/>
      <c r="U12" s="182"/>
      <c r="V12" s="182"/>
      <c r="W12" s="22"/>
      <c r="X12" s="22">
        <f t="shared" si="2"/>
        <v>0</v>
      </c>
      <c r="Y12" s="25"/>
    </row>
    <row r="13" spans="1:25" ht="24.75" customHeight="1">
      <c r="A13" s="498"/>
      <c r="B13" s="498"/>
      <c r="C13" s="498"/>
      <c r="D13" s="43">
        <v>8</v>
      </c>
      <c r="E13" s="43" t="s">
        <v>34</v>
      </c>
      <c r="F13" s="182"/>
      <c r="G13" s="182"/>
      <c r="H13" s="182"/>
      <c r="I13" s="182"/>
      <c r="J13" s="21">
        <f t="shared" si="0"/>
        <v>0</v>
      </c>
      <c r="K13" s="182"/>
      <c r="L13" s="182"/>
      <c r="M13" s="182"/>
      <c r="N13" s="182"/>
      <c r="O13" s="182"/>
      <c r="P13" s="21">
        <f t="shared" si="1"/>
        <v>0</v>
      </c>
      <c r="Q13" s="182"/>
      <c r="R13" s="182"/>
      <c r="S13" s="182"/>
      <c r="T13" s="182"/>
      <c r="U13" s="182"/>
      <c r="V13" s="182"/>
      <c r="W13" s="22"/>
      <c r="X13" s="22">
        <f t="shared" si="2"/>
        <v>0</v>
      </c>
      <c r="Y13" s="25"/>
    </row>
    <row r="14" spans="1:25" ht="59.25" customHeight="1">
      <c r="A14" s="498"/>
      <c r="B14" s="498"/>
      <c r="C14" s="498"/>
      <c r="D14" s="43">
        <v>9</v>
      </c>
      <c r="E14" s="43" t="s">
        <v>35</v>
      </c>
      <c r="F14" s="182"/>
      <c r="G14" s="182"/>
      <c r="H14" s="182"/>
      <c r="I14" s="182"/>
      <c r="J14" s="21">
        <f t="shared" si="0"/>
        <v>0</v>
      </c>
      <c r="K14" s="182"/>
      <c r="L14" s="182"/>
      <c r="M14" s="182"/>
      <c r="N14" s="182"/>
      <c r="O14" s="182"/>
      <c r="P14" s="21">
        <f t="shared" si="1"/>
        <v>0</v>
      </c>
      <c r="Q14" s="182"/>
      <c r="R14" s="182"/>
      <c r="S14" s="182"/>
      <c r="T14" s="182">
        <v>0.03</v>
      </c>
      <c r="U14" s="183"/>
      <c r="V14" s="183"/>
      <c r="W14" s="22"/>
      <c r="X14" s="22">
        <f t="shared" si="2"/>
        <v>0.03</v>
      </c>
      <c r="Y14" s="25" t="s">
        <v>823</v>
      </c>
    </row>
    <row r="15" spans="1:25" ht="31.5">
      <c r="A15" s="498"/>
      <c r="B15" s="498"/>
      <c r="C15" s="498"/>
      <c r="D15" s="43">
        <v>10</v>
      </c>
      <c r="E15" s="43" t="s">
        <v>36</v>
      </c>
      <c r="F15" s="182"/>
      <c r="G15" s="182"/>
      <c r="H15" s="182"/>
      <c r="I15" s="182"/>
      <c r="J15" s="21">
        <f t="shared" si="0"/>
        <v>0</v>
      </c>
      <c r="K15" s="184"/>
      <c r="L15" s="184"/>
      <c r="M15" s="182"/>
      <c r="N15" s="182"/>
      <c r="O15" s="182"/>
      <c r="P15" s="21">
        <f t="shared" si="1"/>
        <v>0</v>
      </c>
      <c r="Q15" s="182"/>
      <c r="R15" s="182"/>
      <c r="S15" s="182"/>
      <c r="T15" s="182"/>
      <c r="U15" s="182"/>
      <c r="V15" s="182"/>
      <c r="W15" s="22"/>
      <c r="X15" s="22">
        <f t="shared" si="2"/>
        <v>0</v>
      </c>
      <c r="Y15" s="25"/>
    </row>
    <row r="16" spans="1:25" ht="24.75" customHeight="1">
      <c r="A16" s="498"/>
      <c r="B16" s="498"/>
      <c r="C16" s="498"/>
      <c r="D16" s="43">
        <v>11</v>
      </c>
      <c r="E16" s="43" t="s">
        <v>37</v>
      </c>
      <c r="F16" s="21"/>
      <c r="G16" s="48"/>
      <c r="H16" s="48"/>
      <c r="I16" s="48"/>
      <c r="J16" s="48">
        <f t="shared" si="0"/>
        <v>0</v>
      </c>
      <c r="K16" s="21"/>
      <c r="L16" s="21"/>
      <c r="M16" s="21"/>
      <c r="N16" s="21"/>
      <c r="O16" s="21"/>
      <c r="P16" s="21">
        <f t="shared" si="1"/>
        <v>0</v>
      </c>
      <c r="Q16" s="21"/>
      <c r="R16" s="21"/>
      <c r="S16" s="21"/>
      <c r="T16" s="21"/>
      <c r="U16" s="21"/>
      <c r="V16" s="21"/>
      <c r="W16" s="22"/>
      <c r="X16" s="22">
        <f t="shared" si="2"/>
        <v>0</v>
      </c>
      <c r="Y16" s="25"/>
    </row>
    <row r="17" spans="1:25" ht="15.75">
      <c r="A17" s="498"/>
      <c r="B17" s="498"/>
      <c r="C17" s="498"/>
      <c r="D17" s="43">
        <v>12</v>
      </c>
      <c r="E17" s="43" t="s">
        <v>38</v>
      </c>
      <c r="F17" s="21"/>
      <c r="G17" s="21"/>
      <c r="H17" s="21"/>
      <c r="I17" s="21"/>
      <c r="J17" s="21">
        <f t="shared" si="0"/>
        <v>0</v>
      </c>
      <c r="K17" s="21"/>
      <c r="L17" s="21"/>
      <c r="M17" s="21"/>
      <c r="N17" s="21"/>
      <c r="O17" s="21"/>
      <c r="P17" s="21">
        <f t="shared" si="1"/>
        <v>0</v>
      </c>
      <c r="Q17" s="21"/>
      <c r="R17" s="21"/>
      <c r="S17" s="21"/>
      <c r="T17" s="21"/>
      <c r="U17" s="21"/>
      <c r="V17" s="21"/>
      <c r="W17" s="22"/>
      <c r="X17" s="22">
        <f t="shared" si="2"/>
        <v>0</v>
      </c>
      <c r="Y17" s="25"/>
    </row>
    <row r="18" spans="1:25" ht="24.75" customHeight="1">
      <c r="A18" s="498"/>
      <c r="B18" s="498"/>
      <c r="C18" s="498"/>
      <c r="D18" s="43">
        <v>13</v>
      </c>
      <c r="E18" s="43" t="s">
        <v>39</v>
      </c>
      <c r="F18" s="21"/>
      <c r="G18" s="21"/>
      <c r="H18" s="21"/>
      <c r="I18" s="21"/>
      <c r="J18" s="21">
        <f t="shared" si="0"/>
        <v>0</v>
      </c>
      <c r="K18" s="21"/>
      <c r="L18" s="21"/>
      <c r="M18" s="21"/>
      <c r="N18" s="21"/>
      <c r="O18" s="21"/>
      <c r="P18" s="21">
        <f t="shared" si="1"/>
        <v>0</v>
      </c>
      <c r="Q18" s="21"/>
      <c r="R18" s="21"/>
      <c r="S18" s="48"/>
      <c r="T18" s="48"/>
      <c r="U18" s="21"/>
      <c r="V18" s="21"/>
      <c r="W18" s="22"/>
      <c r="X18" s="22">
        <f t="shared" si="2"/>
        <v>0</v>
      </c>
      <c r="Y18" s="25"/>
    </row>
    <row r="19" spans="1:25" ht="24.75" customHeight="1">
      <c r="A19" s="498"/>
      <c r="B19" s="498"/>
      <c r="C19" s="498"/>
      <c r="D19" s="43">
        <v>14</v>
      </c>
      <c r="E19" s="43" t="s">
        <v>40</v>
      </c>
      <c r="F19" s="21"/>
      <c r="G19" s="21"/>
      <c r="H19" s="21"/>
      <c r="I19" s="21"/>
      <c r="J19" s="21">
        <f t="shared" si="0"/>
        <v>0</v>
      </c>
      <c r="K19" s="21"/>
      <c r="L19" s="21"/>
      <c r="M19" s="21"/>
      <c r="N19" s="21"/>
      <c r="O19" s="21"/>
      <c r="P19" s="21">
        <f t="shared" si="1"/>
        <v>0</v>
      </c>
      <c r="Q19" s="21"/>
      <c r="R19" s="21"/>
      <c r="S19" s="21"/>
      <c r="T19" s="21"/>
      <c r="U19" s="21"/>
      <c r="V19" s="21"/>
      <c r="W19" s="22"/>
      <c r="X19" s="22">
        <f t="shared" si="2"/>
        <v>0</v>
      </c>
      <c r="Y19" s="25"/>
    </row>
    <row r="20" spans="1:25" ht="15.75">
      <c r="A20" s="498"/>
      <c r="B20" s="498"/>
      <c r="C20" s="498"/>
      <c r="D20" s="43">
        <v>15</v>
      </c>
      <c r="E20" s="43" t="s">
        <v>41</v>
      </c>
      <c r="F20" s="182"/>
      <c r="G20" s="182"/>
      <c r="H20" s="182"/>
      <c r="I20" s="182"/>
      <c r="J20" s="21">
        <f t="shared" si="0"/>
        <v>0</v>
      </c>
      <c r="K20" s="191"/>
      <c r="L20" s="191"/>
      <c r="M20" s="182"/>
      <c r="N20" s="182"/>
      <c r="O20" s="182"/>
      <c r="P20" s="21">
        <f t="shared" si="1"/>
        <v>0</v>
      </c>
      <c r="Q20" s="182"/>
      <c r="R20" s="182"/>
      <c r="S20" s="48"/>
      <c r="T20" s="48">
        <v>0</v>
      </c>
      <c r="U20" s="21"/>
      <c r="V20" s="21"/>
      <c r="W20" s="22"/>
      <c r="X20" s="22">
        <f t="shared" si="2"/>
        <v>0</v>
      </c>
      <c r="Y20" s="25"/>
    </row>
    <row r="21" spans="1:25" ht="36.75" customHeight="1">
      <c r="A21" s="498"/>
      <c r="B21" s="498"/>
      <c r="C21" s="498"/>
      <c r="D21" s="43">
        <v>16</v>
      </c>
      <c r="E21" s="43" t="s">
        <v>42</v>
      </c>
      <c r="F21" s="21"/>
      <c r="G21" s="21"/>
      <c r="H21" s="21"/>
      <c r="I21" s="21"/>
      <c r="J21" s="21">
        <f t="shared" si="0"/>
        <v>0</v>
      </c>
      <c r="K21" s="21"/>
      <c r="L21" s="21"/>
      <c r="M21" s="21"/>
      <c r="N21" s="21"/>
      <c r="O21" s="21"/>
      <c r="P21" s="21">
        <f t="shared" si="1"/>
        <v>0</v>
      </c>
      <c r="Q21" s="21"/>
      <c r="R21" s="21"/>
      <c r="S21" s="21"/>
      <c r="T21" s="21"/>
      <c r="U21" s="21"/>
      <c r="V21" s="21"/>
      <c r="W21" s="22"/>
      <c r="X21" s="22">
        <f t="shared" si="2"/>
        <v>0</v>
      </c>
      <c r="Y21" s="25"/>
    </row>
    <row r="22" spans="1:25" ht="15.75">
      <c r="A22" s="498"/>
      <c r="B22" s="498"/>
      <c r="C22" s="498"/>
      <c r="D22" s="43">
        <v>17</v>
      </c>
      <c r="E22" s="43" t="s">
        <v>43</v>
      </c>
      <c r="F22" s="182"/>
      <c r="G22" s="182"/>
      <c r="H22" s="182"/>
      <c r="I22" s="182"/>
      <c r="J22" s="21">
        <f t="shared" si="0"/>
        <v>0</v>
      </c>
      <c r="K22" s="184"/>
      <c r="L22" s="184"/>
      <c r="M22" s="182"/>
      <c r="N22" s="182"/>
      <c r="O22" s="182"/>
      <c r="P22" s="21">
        <f t="shared" si="1"/>
        <v>0</v>
      </c>
      <c r="Q22" s="182"/>
      <c r="R22" s="182"/>
      <c r="S22" s="183"/>
      <c r="T22" s="183"/>
      <c r="U22" s="183"/>
      <c r="V22" s="183"/>
      <c r="W22" s="22"/>
      <c r="X22" s="22">
        <f t="shared" si="2"/>
        <v>0</v>
      </c>
      <c r="Y22" s="25"/>
    </row>
    <row r="23" spans="1:25" ht="31.5">
      <c r="A23" s="498"/>
      <c r="B23" s="496"/>
      <c r="C23" s="496"/>
      <c r="D23" s="43">
        <v>18</v>
      </c>
      <c r="E23" s="43" t="s">
        <v>44</v>
      </c>
      <c r="F23" s="182"/>
      <c r="G23" s="182"/>
      <c r="H23" s="182"/>
      <c r="I23" s="182"/>
      <c r="J23" s="21">
        <f t="shared" si="0"/>
        <v>0</v>
      </c>
      <c r="K23" s="182"/>
      <c r="L23" s="182"/>
      <c r="M23" s="182"/>
      <c r="N23" s="182"/>
      <c r="O23" s="182"/>
      <c r="P23" s="21">
        <f t="shared" si="1"/>
        <v>0</v>
      </c>
      <c r="Q23" s="182"/>
      <c r="R23" s="182"/>
      <c r="S23" s="183"/>
      <c r="T23" s="183"/>
      <c r="U23" s="183"/>
      <c r="V23" s="183"/>
      <c r="W23" s="22"/>
      <c r="X23" s="22">
        <f t="shared" si="2"/>
        <v>0</v>
      </c>
      <c r="Y23" s="25"/>
    </row>
    <row r="24" spans="1:25" ht="24.75" customHeight="1">
      <c r="A24" s="498"/>
      <c r="B24" s="497" t="s">
        <v>45</v>
      </c>
      <c r="C24" s="497" t="s">
        <v>46</v>
      </c>
      <c r="D24" s="43">
        <v>19</v>
      </c>
      <c r="E24" s="43" t="s">
        <v>46</v>
      </c>
      <c r="F24" s="182"/>
      <c r="G24" s="182"/>
      <c r="H24" s="182"/>
      <c r="I24" s="182"/>
      <c r="J24" s="21">
        <f t="shared" si="0"/>
        <v>0</v>
      </c>
      <c r="K24" s="182"/>
      <c r="L24" s="182"/>
      <c r="M24" s="182"/>
      <c r="N24" s="182"/>
      <c r="O24" s="182"/>
      <c r="P24" s="21">
        <f t="shared" si="1"/>
        <v>0</v>
      </c>
      <c r="Q24" s="182"/>
      <c r="R24" s="182"/>
      <c r="S24" s="182"/>
      <c r="T24" s="182"/>
      <c r="U24" s="182"/>
      <c r="V24" s="182"/>
      <c r="W24" s="22"/>
      <c r="X24" s="22">
        <f t="shared" si="2"/>
        <v>0</v>
      </c>
      <c r="Y24" s="25"/>
    </row>
    <row r="25" spans="1:25" ht="63">
      <c r="A25" s="498"/>
      <c r="B25" s="496"/>
      <c r="C25" s="496"/>
      <c r="D25" s="43">
        <v>20</v>
      </c>
      <c r="E25" s="43" t="s">
        <v>47</v>
      </c>
      <c r="F25" s="182"/>
      <c r="G25" s="182"/>
      <c r="H25" s="182"/>
      <c r="I25" s="182"/>
      <c r="J25" s="21">
        <f t="shared" si="0"/>
        <v>0</v>
      </c>
      <c r="K25" s="182"/>
      <c r="L25" s="182"/>
      <c r="M25" s="182"/>
      <c r="N25" s="182"/>
      <c r="O25" s="182"/>
      <c r="P25" s="21">
        <f t="shared" si="1"/>
        <v>0</v>
      </c>
      <c r="Q25" s="182"/>
      <c r="R25" s="182"/>
      <c r="S25" s="182"/>
      <c r="T25" s="182"/>
      <c r="U25" s="182"/>
      <c r="V25" s="182"/>
      <c r="W25" s="22"/>
      <c r="X25" s="22">
        <f t="shared" si="2"/>
        <v>0</v>
      </c>
      <c r="Y25" s="25"/>
    </row>
    <row r="26" spans="1:25" ht="145.5" customHeight="1">
      <c r="A26" s="498"/>
      <c r="B26" s="497" t="s">
        <v>48</v>
      </c>
      <c r="C26" s="497" t="s">
        <v>49</v>
      </c>
      <c r="D26" s="43">
        <v>21</v>
      </c>
      <c r="E26" s="43" t="s">
        <v>50</v>
      </c>
      <c r="F26" s="182"/>
      <c r="G26" s="182"/>
      <c r="H26" s="182"/>
      <c r="I26" s="183"/>
      <c r="J26" s="48">
        <f t="shared" si="0"/>
        <v>0</v>
      </c>
      <c r="K26" s="184"/>
      <c r="L26" s="184"/>
      <c r="M26" s="182"/>
      <c r="N26" s="182"/>
      <c r="O26" s="184"/>
      <c r="P26" s="22">
        <f t="shared" si="1"/>
        <v>0</v>
      </c>
      <c r="Q26" s="182"/>
      <c r="R26" s="182"/>
      <c r="S26" s="183"/>
      <c r="T26" s="183">
        <v>20.207999999999998</v>
      </c>
      <c r="U26" s="215"/>
      <c r="V26" s="182"/>
      <c r="W26" s="22"/>
      <c r="X26" s="22">
        <f t="shared" si="2"/>
        <v>20.207999999999998</v>
      </c>
      <c r="Y26" s="38" t="s">
        <v>366</v>
      </c>
    </row>
    <row r="27" spans="1:25" ht="228" customHeight="1">
      <c r="A27" s="498"/>
      <c r="B27" s="498"/>
      <c r="C27" s="498"/>
      <c r="D27" s="43">
        <v>22</v>
      </c>
      <c r="E27" s="43" t="s">
        <v>52</v>
      </c>
      <c r="F27" s="183"/>
      <c r="G27" s="182"/>
      <c r="H27" s="182"/>
      <c r="I27" s="183"/>
      <c r="J27" s="48">
        <f t="shared" si="0"/>
        <v>0</v>
      </c>
      <c r="K27" s="192"/>
      <c r="L27" s="192">
        <v>6.3975</v>
      </c>
      <c r="M27" s="47"/>
      <c r="N27" s="182"/>
      <c r="O27" s="182"/>
      <c r="P27" s="21">
        <f t="shared" si="1"/>
        <v>0</v>
      </c>
      <c r="Q27" s="183"/>
      <c r="R27" s="183">
        <v>1</v>
      </c>
      <c r="S27" s="48"/>
      <c r="T27" s="183">
        <v>78.432599999999994</v>
      </c>
      <c r="U27" s="58"/>
      <c r="V27" s="182"/>
      <c r="W27" s="22"/>
      <c r="X27" s="22">
        <f t="shared" si="2"/>
        <v>85.830099999999987</v>
      </c>
      <c r="Y27" s="25" t="s">
        <v>743</v>
      </c>
    </row>
    <row r="28" spans="1:25" ht="31.5" customHeight="1">
      <c r="A28" s="498"/>
      <c r="B28" s="498"/>
      <c r="C28" s="498"/>
      <c r="D28" s="43">
        <v>23</v>
      </c>
      <c r="E28" s="43" t="s">
        <v>55</v>
      </c>
      <c r="F28" s="182"/>
      <c r="G28" s="182"/>
      <c r="H28" s="182"/>
      <c r="I28" s="182"/>
      <c r="J28" s="21">
        <f t="shared" si="0"/>
        <v>0</v>
      </c>
      <c r="K28" s="182"/>
      <c r="L28" s="182"/>
      <c r="M28" s="182"/>
      <c r="N28" s="182"/>
      <c r="O28" s="184"/>
      <c r="P28" s="22">
        <f t="shared" si="1"/>
        <v>0</v>
      </c>
      <c r="Q28" s="182"/>
      <c r="R28" s="182"/>
      <c r="S28" s="182"/>
      <c r="T28" s="182"/>
      <c r="U28" s="182"/>
      <c r="V28" s="182"/>
      <c r="W28" s="22"/>
      <c r="X28" s="22">
        <f t="shared" si="2"/>
        <v>0</v>
      </c>
      <c r="Y28" s="25"/>
    </row>
    <row r="29" spans="1:25" ht="94.5">
      <c r="A29" s="498"/>
      <c r="B29" s="498"/>
      <c r="C29" s="498"/>
      <c r="D29" s="43">
        <v>24</v>
      </c>
      <c r="E29" s="43" t="s">
        <v>56</v>
      </c>
      <c r="F29" s="182"/>
      <c r="G29" s="182"/>
      <c r="H29" s="182"/>
      <c r="I29" s="183"/>
      <c r="J29" s="48">
        <f t="shared" si="0"/>
        <v>0</v>
      </c>
      <c r="K29" s="182"/>
      <c r="L29" s="182"/>
      <c r="M29" s="182"/>
      <c r="N29" s="182"/>
      <c r="O29" s="182"/>
      <c r="P29" s="21">
        <f t="shared" si="1"/>
        <v>0</v>
      </c>
      <c r="Q29" s="182"/>
      <c r="R29" s="182"/>
      <c r="S29" s="182"/>
      <c r="T29" s="182">
        <v>1.05</v>
      </c>
      <c r="U29" s="78"/>
      <c r="V29" s="182"/>
      <c r="W29" s="22"/>
      <c r="X29" s="22">
        <f t="shared" si="2"/>
        <v>1.05</v>
      </c>
      <c r="Y29" s="25" t="s">
        <v>744</v>
      </c>
    </row>
    <row r="30" spans="1:25" ht="409.5">
      <c r="A30" s="498"/>
      <c r="B30" s="498"/>
      <c r="C30" s="498"/>
      <c r="D30" s="43">
        <v>25</v>
      </c>
      <c r="E30" s="43" t="s">
        <v>57</v>
      </c>
      <c r="F30" s="182"/>
      <c r="G30" s="182"/>
      <c r="H30" s="182"/>
      <c r="I30" s="182"/>
      <c r="J30" s="21">
        <f t="shared" si="0"/>
        <v>0</v>
      </c>
      <c r="K30" s="182"/>
      <c r="L30" s="182"/>
      <c r="M30" s="182"/>
      <c r="N30" s="182"/>
      <c r="O30" s="182"/>
      <c r="P30" s="21">
        <f t="shared" si="1"/>
        <v>0</v>
      </c>
      <c r="Q30" s="182"/>
      <c r="R30" s="182"/>
      <c r="S30" s="182"/>
      <c r="T30" s="184">
        <v>0.58699999999999997</v>
      </c>
      <c r="U30" s="47"/>
      <c r="V30" s="182"/>
      <c r="W30" s="22"/>
      <c r="X30" s="22">
        <f t="shared" si="2"/>
        <v>0.58699999999999997</v>
      </c>
      <c r="Y30" s="25" t="s">
        <v>745</v>
      </c>
    </row>
    <row r="31" spans="1:25" ht="23.25" customHeight="1">
      <c r="A31" s="498"/>
      <c r="B31" s="498"/>
      <c r="C31" s="498"/>
      <c r="D31" s="43">
        <v>26</v>
      </c>
      <c r="E31" s="43" t="s">
        <v>58</v>
      </c>
      <c r="F31" s="182"/>
      <c r="G31" s="182"/>
      <c r="H31" s="182"/>
      <c r="I31" s="182"/>
      <c r="J31" s="21">
        <f t="shared" si="0"/>
        <v>0</v>
      </c>
      <c r="K31" s="184"/>
      <c r="L31" s="184"/>
      <c r="M31" s="182"/>
      <c r="N31" s="182"/>
      <c r="O31" s="182"/>
      <c r="P31" s="21">
        <f t="shared" si="1"/>
        <v>0</v>
      </c>
      <c r="Q31" s="182"/>
      <c r="R31" s="182"/>
      <c r="S31" s="182"/>
      <c r="T31" s="182"/>
      <c r="U31" s="182"/>
      <c r="V31" s="182"/>
      <c r="W31" s="22"/>
      <c r="X31" s="22">
        <f t="shared" si="2"/>
        <v>0</v>
      </c>
      <c r="Y31" s="25"/>
    </row>
    <row r="32" spans="1:25" ht="43.5" customHeight="1">
      <c r="A32" s="498"/>
      <c r="B32" s="498"/>
      <c r="C32" s="498"/>
      <c r="D32" s="43">
        <v>27</v>
      </c>
      <c r="E32" s="43" t="s">
        <v>59</v>
      </c>
      <c r="F32" s="182"/>
      <c r="G32" s="182"/>
      <c r="H32" s="182"/>
      <c r="I32" s="183"/>
      <c r="J32" s="48">
        <f t="shared" si="0"/>
        <v>0</v>
      </c>
      <c r="K32" s="184"/>
      <c r="L32" s="184"/>
      <c r="M32" s="182"/>
      <c r="N32" s="182"/>
      <c r="O32" s="182"/>
      <c r="P32" s="21">
        <f t="shared" si="1"/>
        <v>0</v>
      </c>
      <c r="Q32" s="182"/>
      <c r="R32" s="182"/>
      <c r="S32" s="193"/>
      <c r="T32" s="193">
        <v>1</v>
      </c>
      <c r="U32" s="53"/>
      <c r="V32" s="182"/>
      <c r="W32" s="22"/>
      <c r="X32" s="22">
        <f t="shared" si="2"/>
        <v>1</v>
      </c>
      <c r="Y32" s="25" t="s">
        <v>796</v>
      </c>
    </row>
    <row r="33" spans="1:25" ht="50.25" customHeight="1">
      <c r="A33" s="498"/>
      <c r="B33" s="498"/>
      <c r="C33" s="498"/>
      <c r="D33" s="43">
        <v>28</v>
      </c>
      <c r="E33" s="43" t="s">
        <v>30</v>
      </c>
      <c r="F33" s="182"/>
      <c r="G33" s="182"/>
      <c r="H33" s="182"/>
      <c r="I33" s="182"/>
      <c r="J33" s="21">
        <f t="shared" si="0"/>
        <v>0</v>
      </c>
      <c r="K33" s="182"/>
      <c r="L33" s="182"/>
      <c r="M33" s="182"/>
      <c r="N33" s="182"/>
      <c r="O33" s="352">
        <v>2.2355999999999998</v>
      </c>
      <c r="P33" s="26">
        <f t="shared" si="1"/>
        <v>2.2355999999999998</v>
      </c>
      <c r="Q33" s="46"/>
      <c r="R33" s="184">
        <v>2.2355999999999998</v>
      </c>
      <c r="S33" s="46"/>
      <c r="T33" s="182"/>
      <c r="U33" s="182"/>
      <c r="V33" s="182"/>
      <c r="W33" s="22"/>
      <c r="X33" s="22">
        <f t="shared" si="2"/>
        <v>4.4711999999999996</v>
      </c>
      <c r="Y33" s="38" t="s">
        <v>746</v>
      </c>
    </row>
    <row r="34" spans="1:25" ht="48" customHeight="1">
      <c r="A34" s="498"/>
      <c r="B34" s="498"/>
      <c r="C34" s="498"/>
      <c r="D34" s="43">
        <v>29</v>
      </c>
      <c r="E34" s="43" t="s">
        <v>31</v>
      </c>
      <c r="F34" s="182"/>
      <c r="G34" s="182"/>
      <c r="H34" s="182"/>
      <c r="I34" s="182"/>
      <c r="J34" s="21">
        <f t="shared" si="0"/>
        <v>0</v>
      </c>
      <c r="K34" s="182"/>
      <c r="L34" s="182"/>
      <c r="M34" s="182"/>
      <c r="N34" s="182"/>
      <c r="O34" s="182"/>
      <c r="P34" s="21">
        <f t="shared" si="1"/>
        <v>0</v>
      </c>
      <c r="Q34" s="182"/>
      <c r="R34" s="182"/>
      <c r="S34" s="184"/>
      <c r="T34" s="184">
        <v>7.8246000000000002</v>
      </c>
      <c r="U34" s="46"/>
      <c r="V34" s="182"/>
      <c r="W34" s="22"/>
      <c r="X34" s="22">
        <f t="shared" si="2"/>
        <v>7.8246000000000002</v>
      </c>
      <c r="Y34" s="38" t="s">
        <v>747</v>
      </c>
    </row>
    <row r="35" spans="1:25" ht="31.5">
      <c r="A35" s="498"/>
      <c r="B35" s="498"/>
      <c r="C35" s="498"/>
      <c r="D35" s="43">
        <v>30</v>
      </c>
      <c r="E35" s="43" t="s">
        <v>60</v>
      </c>
      <c r="F35" s="182"/>
      <c r="G35" s="182"/>
      <c r="H35" s="182"/>
      <c r="I35" s="182"/>
      <c r="J35" s="21">
        <f t="shared" si="0"/>
        <v>0</v>
      </c>
      <c r="K35" s="184"/>
      <c r="L35" s="184"/>
      <c r="M35" s="182"/>
      <c r="N35" s="182"/>
      <c r="O35" s="182"/>
      <c r="P35" s="21">
        <f t="shared" si="1"/>
        <v>0</v>
      </c>
      <c r="Q35" s="182"/>
      <c r="R35" s="182"/>
      <c r="S35" s="182"/>
      <c r="T35" s="182"/>
      <c r="U35" s="182"/>
      <c r="V35" s="182"/>
      <c r="W35" s="22"/>
      <c r="X35" s="22">
        <f t="shared" si="2"/>
        <v>0</v>
      </c>
      <c r="Y35" s="25"/>
    </row>
    <row r="36" spans="1:25" ht="31.5">
      <c r="A36" s="498"/>
      <c r="B36" s="496"/>
      <c r="C36" s="496"/>
      <c r="D36" s="43">
        <v>31</v>
      </c>
      <c r="E36" s="43" t="s">
        <v>44</v>
      </c>
      <c r="F36" s="182"/>
      <c r="G36" s="182"/>
      <c r="H36" s="182"/>
      <c r="I36" s="182"/>
      <c r="J36" s="21">
        <f t="shared" si="0"/>
        <v>0</v>
      </c>
      <c r="K36" s="182"/>
      <c r="L36" s="182"/>
      <c r="M36" s="182"/>
      <c r="N36" s="182"/>
      <c r="O36" s="182"/>
      <c r="P36" s="21">
        <f t="shared" si="1"/>
        <v>0</v>
      </c>
      <c r="Q36" s="182"/>
      <c r="R36" s="182"/>
      <c r="S36" s="182"/>
      <c r="T36" s="182"/>
      <c r="U36" s="182"/>
      <c r="V36" s="182"/>
      <c r="W36" s="22"/>
      <c r="X36" s="22">
        <f t="shared" si="2"/>
        <v>0</v>
      </c>
      <c r="Y36" s="25"/>
    </row>
    <row r="37" spans="1:25" ht="393.75">
      <c r="A37" s="498"/>
      <c r="B37" s="497" t="s">
        <v>61</v>
      </c>
      <c r="C37" s="497" t="s">
        <v>62</v>
      </c>
      <c r="D37" s="43">
        <v>32</v>
      </c>
      <c r="E37" s="43" t="s">
        <v>63</v>
      </c>
      <c r="F37" s="182"/>
      <c r="G37" s="182"/>
      <c r="H37" s="182"/>
      <c r="I37" s="182"/>
      <c r="J37" s="21">
        <f t="shared" si="0"/>
        <v>0</v>
      </c>
      <c r="K37" s="184"/>
      <c r="L37" s="184"/>
      <c r="M37" s="182"/>
      <c r="N37" s="182"/>
      <c r="O37" s="182"/>
      <c r="P37" s="21">
        <f t="shared" si="1"/>
        <v>0</v>
      </c>
      <c r="Q37" s="184"/>
      <c r="R37" s="184"/>
      <c r="S37" s="183"/>
      <c r="T37" s="183">
        <v>9.6976999999999993</v>
      </c>
      <c r="U37" s="184"/>
      <c r="V37" s="184"/>
      <c r="W37" s="22"/>
      <c r="X37" s="22">
        <f t="shared" si="2"/>
        <v>9.6976999999999993</v>
      </c>
      <c r="Y37" s="25" t="s">
        <v>1167</v>
      </c>
    </row>
    <row r="38" spans="1:25" ht="35.25" customHeight="1">
      <c r="A38" s="498"/>
      <c r="B38" s="498"/>
      <c r="C38" s="498"/>
      <c r="D38" s="43">
        <v>33</v>
      </c>
      <c r="E38" s="43" t="s">
        <v>64</v>
      </c>
      <c r="F38" s="21"/>
      <c r="G38" s="21"/>
      <c r="H38" s="21"/>
      <c r="I38" s="21"/>
      <c r="J38" s="21">
        <f t="shared" si="0"/>
        <v>0</v>
      </c>
      <c r="K38" s="21"/>
      <c r="L38" s="21"/>
      <c r="M38" s="21"/>
      <c r="N38" s="21"/>
      <c r="O38" s="21"/>
      <c r="P38" s="21">
        <f t="shared" si="1"/>
        <v>0</v>
      </c>
      <c r="Q38" s="21"/>
      <c r="R38" s="21"/>
      <c r="S38" s="21"/>
      <c r="T38" s="21"/>
      <c r="U38" s="21"/>
      <c r="V38" s="21"/>
      <c r="W38" s="22"/>
      <c r="X38" s="22">
        <f t="shared" si="2"/>
        <v>0</v>
      </c>
      <c r="Y38" s="25"/>
    </row>
    <row r="39" spans="1:25" ht="39.75" customHeight="1">
      <c r="A39" s="498"/>
      <c r="B39" s="496"/>
      <c r="C39" s="496"/>
      <c r="D39" s="43">
        <v>34</v>
      </c>
      <c r="E39" s="43" t="s">
        <v>65</v>
      </c>
      <c r="F39" s="21"/>
      <c r="G39" s="21"/>
      <c r="H39" s="21"/>
      <c r="I39" s="21"/>
      <c r="J39" s="21">
        <f t="shared" si="0"/>
        <v>0</v>
      </c>
      <c r="K39" s="21"/>
      <c r="L39" s="21"/>
      <c r="M39" s="21"/>
      <c r="N39" s="21"/>
      <c r="O39" s="21"/>
      <c r="P39" s="21">
        <f t="shared" si="1"/>
        <v>0</v>
      </c>
      <c r="Q39" s="21"/>
      <c r="R39" s="21"/>
      <c r="S39" s="48"/>
      <c r="T39" s="48"/>
      <c r="U39" s="21"/>
      <c r="V39" s="21"/>
      <c r="W39" s="22"/>
      <c r="X39" s="22">
        <f t="shared" si="2"/>
        <v>0</v>
      </c>
      <c r="Y39" s="25"/>
    </row>
    <row r="40" spans="1:25" ht="204.75">
      <c r="A40" s="498"/>
      <c r="B40" s="497" t="s">
        <v>66</v>
      </c>
      <c r="C40" s="497" t="s">
        <v>67</v>
      </c>
      <c r="D40" s="43">
        <v>35</v>
      </c>
      <c r="E40" s="67" t="s">
        <v>68</v>
      </c>
      <c r="F40" s="21"/>
      <c r="G40" s="21"/>
      <c r="H40" s="21"/>
      <c r="I40" s="21"/>
      <c r="J40" s="21">
        <f t="shared" si="0"/>
        <v>0</v>
      </c>
      <c r="K40" s="22"/>
      <c r="L40" s="22"/>
      <c r="M40" s="21"/>
      <c r="N40" s="21"/>
      <c r="O40" s="21"/>
      <c r="P40" s="21">
        <f t="shared" si="1"/>
        <v>0</v>
      </c>
      <c r="Q40" s="21"/>
      <c r="R40" s="21"/>
      <c r="S40" s="48"/>
      <c r="T40" s="48">
        <f>0.96+1.54+0.24</f>
        <v>2.74</v>
      </c>
      <c r="U40" s="21"/>
      <c r="V40" s="21"/>
      <c r="W40" s="22"/>
      <c r="X40" s="22">
        <f t="shared" si="2"/>
        <v>2.74</v>
      </c>
      <c r="Y40" s="25" t="s">
        <v>367</v>
      </c>
    </row>
    <row r="41" spans="1:25" ht="31.5">
      <c r="A41" s="498"/>
      <c r="B41" s="498"/>
      <c r="C41" s="498"/>
      <c r="D41" s="43">
        <v>36</v>
      </c>
      <c r="E41" s="67" t="s">
        <v>70</v>
      </c>
      <c r="F41" s="21"/>
      <c r="G41" s="21"/>
      <c r="H41" s="21"/>
      <c r="I41" s="21"/>
      <c r="J41" s="21">
        <f t="shared" si="0"/>
        <v>0</v>
      </c>
      <c r="K41" s="21"/>
      <c r="L41" s="21"/>
      <c r="M41" s="21"/>
      <c r="N41" s="21"/>
      <c r="O41" s="22"/>
      <c r="P41" s="22">
        <f t="shared" si="1"/>
        <v>0</v>
      </c>
      <c r="Q41" s="21"/>
      <c r="R41" s="21"/>
      <c r="S41" s="21"/>
      <c r="T41" s="21"/>
      <c r="U41" s="21"/>
      <c r="V41" s="21"/>
      <c r="W41" s="22"/>
      <c r="X41" s="22">
        <f t="shared" si="2"/>
        <v>0</v>
      </c>
      <c r="Y41" s="25"/>
    </row>
    <row r="42" spans="1:25" ht="31.5">
      <c r="A42" s="498"/>
      <c r="B42" s="498"/>
      <c r="C42" s="498"/>
      <c r="D42" s="43">
        <v>37</v>
      </c>
      <c r="E42" s="43" t="s">
        <v>71</v>
      </c>
      <c r="F42" s="21"/>
      <c r="G42" s="21"/>
      <c r="H42" s="21"/>
      <c r="I42" s="21"/>
      <c r="J42" s="21">
        <f t="shared" si="0"/>
        <v>0</v>
      </c>
      <c r="K42" s="21"/>
      <c r="L42" s="21"/>
      <c r="M42" s="21"/>
      <c r="N42" s="21"/>
      <c r="O42" s="22"/>
      <c r="P42" s="22">
        <f t="shared" si="1"/>
        <v>0</v>
      </c>
      <c r="Q42" s="21"/>
      <c r="R42" s="21"/>
      <c r="S42" s="21"/>
      <c r="T42" s="21"/>
      <c r="U42" s="21"/>
      <c r="V42" s="21"/>
      <c r="W42" s="22"/>
      <c r="X42" s="22">
        <f t="shared" si="2"/>
        <v>0</v>
      </c>
      <c r="Y42" s="25"/>
    </row>
    <row r="43" spans="1:25" ht="126">
      <c r="A43" s="498"/>
      <c r="B43" s="498"/>
      <c r="C43" s="498"/>
      <c r="D43" s="43">
        <v>38</v>
      </c>
      <c r="E43" s="194" t="s">
        <v>72</v>
      </c>
      <c r="F43" s="21"/>
      <c r="G43" s="21"/>
      <c r="H43" s="21"/>
      <c r="I43" s="21"/>
      <c r="J43" s="21">
        <f t="shared" si="0"/>
        <v>0</v>
      </c>
      <c r="K43" s="21"/>
      <c r="L43" s="21"/>
      <c r="M43" s="21"/>
      <c r="N43" s="21"/>
      <c r="O43" s="21"/>
      <c r="P43" s="21">
        <f t="shared" si="1"/>
        <v>0</v>
      </c>
      <c r="Q43" s="21"/>
      <c r="R43" s="21"/>
      <c r="S43" s="48"/>
      <c r="T43" s="48">
        <f>2.01+0.8</f>
        <v>2.8099999999999996</v>
      </c>
      <c r="U43" s="21"/>
      <c r="V43" s="21"/>
      <c r="W43" s="22"/>
      <c r="X43" s="22">
        <f t="shared" si="2"/>
        <v>2.8099999999999996</v>
      </c>
      <c r="Y43" s="25" t="s">
        <v>368</v>
      </c>
    </row>
    <row r="44" spans="1:25" ht="47.25">
      <c r="A44" s="498"/>
      <c r="B44" s="498"/>
      <c r="C44" s="498"/>
      <c r="D44" s="43">
        <v>39</v>
      </c>
      <c r="E44" s="43" t="s">
        <v>74</v>
      </c>
      <c r="F44" s="21"/>
      <c r="G44" s="21"/>
      <c r="H44" s="21"/>
      <c r="I44" s="21"/>
      <c r="J44" s="21">
        <f t="shared" si="0"/>
        <v>0</v>
      </c>
      <c r="K44" s="21"/>
      <c r="L44" s="21"/>
      <c r="M44" s="21"/>
      <c r="N44" s="21"/>
      <c r="O44" s="21"/>
      <c r="P44" s="21">
        <f t="shared" si="1"/>
        <v>0</v>
      </c>
      <c r="Q44" s="21"/>
      <c r="R44" s="21"/>
      <c r="S44" s="48"/>
      <c r="T44" s="48"/>
      <c r="U44" s="21"/>
      <c r="V44" s="21"/>
      <c r="W44" s="22"/>
      <c r="X44" s="22">
        <f t="shared" si="2"/>
        <v>0</v>
      </c>
      <c r="Y44" s="25"/>
    </row>
    <row r="45" spans="1:25" ht="94.5">
      <c r="A45" s="498"/>
      <c r="B45" s="498"/>
      <c r="C45" s="498"/>
      <c r="D45" s="43">
        <v>40</v>
      </c>
      <c r="E45" s="43" t="s">
        <v>75</v>
      </c>
      <c r="F45" s="21"/>
      <c r="G45" s="21"/>
      <c r="H45" s="21"/>
      <c r="I45" s="21"/>
      <c r="J45" s="21">
        <f t="shared" si="0"/>
        <v>0</v>
      </c>
      <c r="K45" s="21"/>
      <c r="L45" s="21"/>
      <c r="M45" s="21"/>
      <c r="N45" s="21"/>
      <c r="O45" s="21"/>
      <c r="P45" s="21">
        <f t="shared" si="1"/>
        <v>0</v>
      </c>
      <c r="Q45" s="21"/>
      <c r="R45" s="21"/>
      <c r="S45" s="48"/>
      <c r="T45" s="48">
        <f>(500*7*15)/100000</f>
        <v>0.52500000000000002</v>
      </c>
      <c r="U45" s="21"/>
      <c r="V45" s="21"/>
      <c r="W45" s="22"/>
      <c r="X45" s="22">
        <f t="shared" si="2"/>
        <v>0.52500000000000002</v>
      </c>
      <c r="Y45" s="25" t="s">
        <v>573</v>
      </c>
    </row>
    <row r="46" spans="1:25" ht="31.5" hidden="1">
      <c r="A46" s="498"/>
      <c r="B46" s="496"/>
      <c r="C46" s="496"/>
      <c r="D46" s="43">
        <v>41</v>
      </c>
      <c r="E46" s="43" t="s">
        <v>44</v>
      </c>
      <c r="F46" s="21"/>
      <c r="G46" s="21"/>
      <c r="H46" s="21"/>
      <c r="I46" s="21"/>
      <c r="J46" s="21">
        <f t="shared" si="0"/>
        <v>0</v>
      </c>
      <c r="K46" s="21"/>
      <c r="L46" s="21"/>
      <c r="M46" s="21"/>
      <c r="N46" s="21"/>
      <c r="O46" s="21"/>
      <c r="P46" s="21">
        <f t="shared" si="1"/>
        <v>0</v>
      </c>
      <c r="Q46" s="21"/>
      <c r="R46" s="21"/>
      <c r="S46" s="21"/>
      <c r="T46" s="21"/>
      <c r="U46" s="21"/>
      <c r="V46" s="21"/>
      <c r="W46" s="22"/>
      <c r="X46" s="22">
        <f t="shared" si="2"/>
        <v>0</v>
      </c>
      <c r="Y46" s="25"/>
    </row>
    <row r="47" spans="1:25" ht="63">
      <c r="A47" s="498"/>
      <c r="B47" s="497" t="s">
        <v>76</v>
      </c>
      <c r="C47" s="497" t="s">
        <v>77</v>
      </c>
      <c r="D47" s="43">
        <v>42</v>
      </c>
      <c r="E47" s="43" t="s">
        <v>78</v>
      </c>
      <c r="F47" s="183">
        <v>2.9237500000000001</v>
      </c>
      <c r="G47" s="182"/>
      <c r="H47" s="182"/>
      <c r="I47" s="182"/>
      <c r="J47" s="21">
        <f t="shared" si="0"/>
        <v>0</v>
      </c>
      <c r="K47" s="184"/>
      <c r="L47" s="184"/>
      <c r="M47" s="182"/>
      <c r="N47" s="182"/>
      <c r="O47" s="182"/>
      <c r="P47" s="21">
        <f t="shared" si="1"/>
        <v>0</v>
      </c>
      <c r="Q47" s="182"/>
      <c r="R47" s="182"/>
      <c r="S47" s="183"/>
      <c r="T47" s="183"/>
      <c r="U47" s="182"/>
      <c r="V47" s="182"/>
      <c r="W47" s="22"/>
      <c r="X47" s="22">
        <f t="shared" si="2"/>
        <v>2.9237500000000001</v>
      </c>
      <c r="Y47" s="25" t="s">
        <v>939</v>
      </c>
    </row>
    <row r="48" spans="1:25" ht="31.5">
      <c r="A48" s="498"/>
      <c r="B48" s="498"/>
      <c r="C48" s="498"/>
      <c r="D48" s="43">
        <v>43</v>
      </c>
      <c r="E48" s="43" t="s">
        <v>79</v>
      </c>
      <c r="F48" s="183">
        <v>0.15</v>
      </c>
      <c r="G48" s="182"/>
      <c r="H48" s="182"/>
      <c r="I48" s="182"/>
      <c r="J48" s="21">
        <f t="shared" si="0"/>
        <v>0</v>
      </c>
      <c r="K48" s="184"/>
      <c r="L48" s="184"/>
      <c r="M48" s="182"/>
      <c r="N48" s="182"/>
      <c r="O48" s="182"/>
      <c r="P48" s="21">
        <f t="shared" si="1"/>
        <v>0</v>
      </c>
      <c r="Q48" s="182"/>
      <c r="R48" s="182"/>
      <c r="S48" s="183"/>
      <c r="T48" s="183"/>
      <c r="U48" s="182"/>
      <c r="V48" s="182"/>
      <c r="W48" s="22"/>
      <c r="X48" s="22">
        <f t="shared" si="2"/>
        <v>0.15</v>
      </c>
      <c r="Y48" s="25" t="s">
        <v>940</v>
      </c>
    </row>
    <row r="49" spans="1:25" ht="63">
      <c r="A49" s="498"/>
      <c r="B49" s="498"/>
      <c r="C49" s="498"/>
      <c r="D49" s="43">
        <v>44</v>
      </c>
      <c r="E49" s="43" t="s">
        <v>80</v>
      </c>
      <c r="F49" s="183">
        <v>2.1000000000000001E-2</v>
      </c>
      <c r="G49" s="182"/>
      <c r="H49" s="182"/>
      <c r="I49" s="182"/>
      <c r="J49" s="21">
        <f t="shared" si="0"/>
        <v>0</v>
      </c>
      <c r="K49" s="184"/>
      <c r="L49" s="184"/>
      <c r="M49" s="182"/>
      <c r="N49" s="182"/>
      <c r="O49" s="182"/>
      <c r="P49" s="21">
        <f t="shared" si="1"/>
        <v>0</v>
      </c>
      <c r="Q49" s="182"/>
      <c r="R49" s="182"/>
      <c r="S49" s="183"/>
      <c r="T49" s="183"/>
      <c r="U49" s="182"/>
      <c r="V49" s="182"/>
      <c r="W49" s="22"/>
      <c r="X49" s="22">
        <f t="shared" si="2"/>
        <v>2.1000000000000001E-2</v>
      </c>
      <c r="Y49" s="25" t="s">
        <v>893</v>
      </c>
    </row>
    <row r="50" spans="1:25" ht="78.75">
      <c r="A50" s="498"/>
      <c r="B50" s="498"/>
      <c r="C50" s="498"/>
      <c r="D50" s="43">
        <v>45</v>
      </c>
      <c r="E50" s="43" t="s">
        <v>81</v>
      </c>
      <c r="F50" s="183">
        <v>7.6999999999999999E-2</v>
      </c>
      <c r="G50" s="182"/>
      <c r="H50" s="182"/>
      <c r="I50" s="182"/>
      <c r="J50" s="21">
        <f t="shared" si="0"/>
        <v>0</v>
      </c>
      <c r="K50" s="182"/>
      <c r="L50" s="182"/>
      <c r="M50" s="182"/>
      <c r="N50" s="182"/>
      <c r="O50" s="182"/>
      <c r="P50" s="21">
        <f t="shared" si="1"/>
        <v>0</v>
      </c>
      <c r="Q50" s="182"/>
      <c r="R50" s="182"/>
      <c r="S50" s="182"/>
      <c r="T50" s="182"/>
      <c r="U50" s="182"/>
      <c r="V50" s="182"/>
      <c r="W50" s="22"/>
      <c r="X50" s="22">
        <f t="shared" si="2"/>
        <v>7.6999999999999999E-2</v>
      </c>
      <c r="Y50" s="25" t="s">
        <v>892</v>
      </c>
    </row>
    <row r="51" spans="1:25" ht="31.5">
      <c r="A51" s="498"/>
      <c r="B51" s="498"/>
      <c r="C51" s="498"/>
      <c r="D51" s="43">
        <v>46</v>
      </c>
      <c r="E51" s="43" t="s">
        <v>82</v>
      </c>
      <c r="F51" s="182"/>
      <c r="G51" s="182"/>
      <c r="H51" s="182"/>
      <c r="I51" s="182"/>
      <c r="J51" s="21">
        <f t="shared" si="0"/>
        <v>0</v>
      </c>
      <c r="K51" s="182"/>
      <c r="L51" s="182"/>
      <c r="M51" s="182"/>
      <c r="N51" s="182"/>
      <c r="O51" s="182"/>
      <c r="P51" s="21">
        <f t="shared" si="1"/>
        <v>0</v>
      </c>
      <c r="Q51" s="182"/>
      <c r="R51" s="182"/>
      <c r="S51" s="182"/>
      <c r="T51" s="182"/>
      <c r="U51" s="182"/>
      <c r="V51" s="182"/>
      <c r="W51" s="22"/>
      <c r="X51" s="22">
        <f t="shared" si="2"/>
        <v>0</v>
      </c>
      <c r="Y51" s="25"/>
    </row>
    <row r="52" spans="1:25" ht="31.5">
      <c r="A52" s="498"/>
      <c r="B52" s="498"/>
      <c r="C52" s="498"/>
      <c r="D52" s="43">
        <v>47</v>
      </c>
      <c r="E52" s="43" t="s">
        <v>83</v>
      </c>
      <c r="F52" s="183"/>
      <c r="G52" s="182"/>
      <c r="H52" s="182"/>
      <c r="I52" s="182"/>
      <c r="J52" s="21">
        <f t="shared" si="0"/>
        <v>0</v>
      </c>
      <c r="K52" s="182"/>
      <c r="L52" s="182"/>
      <c r="M52" s="182"/>
      <c r="N52" s="182"/>
      <c r="O52" s="182"/>
      <c r="P52" s="21">
        <f t="shared" si="1"/>
        <v>0</v>
      </c>
      <c r="Q52" s="182"/>
      <c r="R52" s="182"/>
      <c r="S52" s="182"/>
      <c r="T52" s="182"/>
      <c r="U52" s="182"/>
      <c r="V52" s="182"/>
      <c r="W52" s="22"/>
      <c r="X52" s="22">
        <f t="shared" si="2"/>
        <v>0</v>
      </c>
      <c r="Y52" s="25"/>
    </row>
    <row r="53" spans="1:25" ht="15.75">
      <c r="A53" s="498"/>
      <c r="B53" s="498"/>
      <c r="C53" s="498"/>
      <c r="D53" s="43">
        <v>48</v>
      </c>
      <c r="E53" s="43" t="s">
        <v>84</v>
      </c>
      <c r="F53" s="182"/>
      <c r="G53" s="182"/>
      <c r="H53" s="182"/>
      <c r="I53" s="182"/>
      <c r="J53" s="21">
        <f t="shared" si="0"/>
        <v>0</v>
      </c>
      <c r="K53" s="182"/>
      <c r="L53" s="182"/>
      <c r="M53" s="182"/>
      <c r="N53" s="182"/>
      <c r="O53" s="182"/>
      <c r="P53" s="21">
        <f t="shared" si="1"/>
        <v>0</v>
      </c>
      <c r="Q53" s="182"/>
      <c r="R53" s="182"/>
      <c r="S53" s="183"/>
      <c r="T53" s="183"/>
      <c r="U53" s="182"/>
      <c r="V53" s="182"/>
      <c r="W53" s="22"/>
      <c r="X53" s="22">
        <f t="shared" si="2"/>
        <v>0</v>
      </c>
      <c r="Y53" s="25"/>
    </row>
    <row r="54" spans="1:25" ht="47.25">
      <c r="A54" s="498"/>
      <c r="B54" s="498"/>
      <c r="C54" s="498"/>
      <c r="D54" s="43">
        <v>49</v>
      </c>
      <c r="E54" s="43" t="s">
        <v>85</v>
      </c>
      <c r="F54" s="182"/>
      <c r="G54" s="182"/>
      <c r="H54" s="182"/>
      <c r="I54" s="182"/>
      <c r="J54" s="21">
        <f t="shared" si="0"/>
        <v>0</v>
      </c>
      <c r="K54" s="182"/>
      <c r="L54" s="182"/>
      <c r="M54" s="182"/>
      <c r="N54" s="182"/>
      <c r="O54" s="182"/>
      <c r="P54" s="21">
        <f t="shared" si="1"/>
        <v>0</v>
      </c>
      <c r="Q54" s="182"/>
      <c r="R54" s="182"/>
      <c r="S54" s="182"/>
      <c r="T54" s="182"/>
      <c r="U54" s="182"/>
      <c r="V54" s="182"/>
      <c r="W54" s="22"/>
      <c r="X54" s="22">
        <f t="shared" si="2"/>
        <v>0</v>
      </c>
      <c r="Y54" s="25"/>
    </row>
    <row r="55" spans="1:25" ht="31.5">
      <c r="A55" s="498"/>
      <c r="B55" s="498"/>
      <c r="C55" s="498"/>
      <c r="D55" s="43">
        <v>50</v>
      </c>
      <c r="E55" s="43" t="s">
        <v>86</v>
      </c>
      <c r="F55" s="182"/>
      <c r="G55" s="182"/>
      <c r="H55" s="182"/>
      <c r="I55" s="182"/>
      <c r="J55" s="21">
        <f t="shared" si="0"/>
        <v>0</v>
      </c>
      <c r="K55" s="184"/>
      <c r="L55" s="184"/>
      <c r="M55" s="182"/>
      <c r="N55" s="182"/>
      <c r="O55" s="182"/>
      <c r="P55" s="21">
        <f t="shared" si="1"/>
        <v>0</v>
      </c>
      <c r="Q55" s="182"/>
      <c r="R55" s="182"/>
      <c r="S55" s="183"/>
      <c r="T55" s="183"/>
      <c r="U55" s="182"/>
      <c r="V55" s="182"/>
      <c r="W55" s="22"/>
      <c r="X55" s="22">
        <f t="shared" si="2"/>
        <v>0</v>
      </c>
      <c r="Y55" s="25"/>
    </row>
    <row r="56" spans="1:25" ht="31.5" hidden="1">
      <c r="A56" s="498"/>
      <c r="B56" s="496"/>
      <c r="C56" s="496"/>
      <c r="D56" s="43">
        <v>51</v>
      </c>
      <c r="E56" s="43" t="s">
        <v>44</v>
      </c>
      <c r="F56" s="182"/>
      <c r="G56" s="182"/>
      <c r="H56" s="182"/>
      <c r="I56" s="182"/>
      <c r="J56" s="21">
        <f t="shared" si="0"/>
        <v>0</v>
      </c>
      <c r="K56" s="182"/>
      <c r="L56" s="182"/>
      <c r="M56" s="182"/>
      <c r="N56" s="182"/>
      <c r="O56" s="182"/>
      <c r="P56" s="21">
        <f t="shared" si="1"/>
        <v>0</v>
      </c>
      <c r="Q56" s="182"/>
      <c r="R56" s="182"/>
      <c r="S56" s="182"/>
      <c r="T56" s="182"/>
      <c r="U56" s="182"/>
      <c r="V56" s="182"/>
      <c r="W56" s="22"/>
      <c r="X56" s="22">
        <f t="shared" si="2"/>
        <v>0</v>
      </c>
      <c r="Y56" s="25"/>
    </row>
    <row r="57" spans="1:25" ht="15.75">
      <c r="A57" s="498"/>
      <c r="B57" s="497" t="s">
        <v>87</v>
      </c>
      <c r="C57" s="497" t="s">
        <v>88</v>
      </c>
      <c r="D57" s="43">
        <v>52</v>
      </c>
      <c r="E57" s="43" t="s">
        <v>89</v>
      </c>
      <c r="F57" s="182"/>
      <c r="G57" s="182"/>
      <c r="H57" s="182"/>
      <c r="I57" s="182"/>
      <c r="J57" s="21">
        <f t="shared" si="0"/>
        <v>0</v>
      </c>
      <c r="K57" s="184"/>
      <c r="L57" s="184"/>
      <c r="M57" s="182"/>
      <c r="N57" s="182"/>
      <c r="O57" s="184"/>
      <c r="P57" s="22">
        <f t="shared" si="1"/>
        <v>0</v>
      </c>
      <c r="Q57" s="182"/>
      <c r="R57" s="182"/>
      <c r="S57" s="182"/>
      <c r="T57" s="182"/>
      <c r="U57" s="182"/>
      <c r="V57" s="182"/>
      <c r="W57" s="22"/>
      <c r="X57" s="22">
        <f t="shared" si="2"/>
        <v>0</v>
      </c>
      <c r="Y57" s="25"/>
    </row>
    <row r="58" spans="1:25" ht="31.5">
      <c r="A58" s="498"/>
      <c r="B58" s="498"/>
      <c r="C58" s="498"/>
      <c r="D58" s="43">
        <v>53</v>
      </c>
      <c r="E58" s="43" t="s">
        <v>90</v>
      </c>
      <c r="F58" s="182"/>
      <c r="G58" s="182"/>
      <c r="H58" s="182"/>
      <c r="I58" s="182"/>
      <c r="J58" s="21">
        <f t="shared" si="0"/>
        <v>0</v>
      </c>
      <c r="K58" s="182"/>
      <c r="L58" s="182"/>
      <c r="M58" s="182"/>
      <c r="N58" s="182"/>
      <c r="O58" s="184"/>
      <c r="P58" s="22">
        <f t="shared" si="1"/>
        <v>0</v>
      </c>
      <c r="Q58" s="182"/>
      <c r="R58" s="182"/>
      <c r="S58" s="182"/>
      <c r="T58" s="182"/>
      <c r="U58" s="182"/>
      <c r="V58" s="182"/>
      <c r="W58" s="22"/>
      <c r="X58" s="22">
        <f t="shared" si="2"/>
        <v>0</v>
      </c>
      <c r="Y58" s="192"/>
    </row>
    <row r="59" spans="1:25" ht="173.25">
      <c r="A59" s="498"/>
      <c r="B59" s="498"/>
      <c r="C59" s="498"/>
      <c r="D59" s="43">
        <v>54</v>
      </c>
      <c r="E59" s="43" t="s">
        <v>91</v>
      </c>
      <c r="F59" s="182"/>
      <c r="G59" s="182"/>
      <c r="H59" s="182"/>
      <c r="I59" s="183"/>
      <c r="J59" s="48">
        <f t="shared" si="0"/>
        <v>0</v>
      </c>
      <c r="K59" s="182"/>
      <c r="L59" s="182"/>
      <c r="M59" s="182"/>
      <c r="N59" s="182"/>
      <c r="O59" s="182"/>
      <c r="P59" s="21">
        <f t="shared" si="1"/>
        <v>0</v>
      </c>
      <c r="Q59" s="182"/>
      <c r="R59" s="182"/>
      <c r="S59" s="183"/>
      <c r="T59" s="183">
        <v>1</v>
      </c>
      <c r="U59" s="47"/>
      <c r="V59" s="182"/>
      <c r="W59" s="22"/>
      <c r="X59" s="22">
        <f t="shared" si="2"/>
        <v>1</v>
      </c>
      <c r="Y59" s="25" t="s">
        <v>92</v>
      </c>
    </row>
    <row r="60" spans="1:25" ht="31.5">
      <c r="A60" s="498"/>
      <c r="B60" s="498"/>
      <c r="C60" s="498"/>
      <c r="D60" s="43">
        <v>55</v>
      </c>
      <c r="E60" s="43" t="s">
        <v>93</v>
      </c>
      <c r="F60" s="182"/>
      <c r="G60" s="182"/>
      <c r="H60" s="182"/>
      <c r="I60" s="182"/>
      <c r="J60" s="21">
        <f t="shared" si="0"/>
        <v>0</v>
      </c>
      <c r="K60" s="182"/>
      <c r="L60" s="182"/>
      <c r="M60" s="182"/>
      <c r="N60" s="182"/>
      <c r="O60" s="184"/>
      <c r="P60" s="22">
        <f t="shared" si="1"/>
        <v>0</v>
      </c>
      <c r="Q60" s="182"/>
      <c r="R60" s="182"/>
      <c r="S60" s="182"/>
      <c r="T60" s="182"/>
      <c r="U60" s="182"/>
      <c r="V60" s="182"/>
      <c r="W60" s="22"/>
      <c r="X60" s="22">
        <f t="shared" si="2"/>
        <v>0</v>
      </c>
      <c r="Y60" s="25"/>
    </row>
    <row r="61" spans="1:25" ht="31.5">
      <c r="A61" s="498"/>
      <c r="B61" s="498"/>
      <c r="C61" s="498"/>
      <c r="D61" s="43">
        <v>56</v>
      </c>
      <c r="E61" s="43" t="s">
        <v>94</v>
      </c>
      <c r="F61" s="182"/>
      <c r="G61" s="182"/>
      <c r="H61" s="182"/>
      <c r="I61" s="182"/>
      <c r="J61" s="21">
        <f t="shared" si="0"/>
        <v>0</v>
      </c>
      <c r="K61" s="182"/>
      <c r="L61" s="182"/>
      <c r="M61" s="182"/>
      <c r="N61" s="182"/>
      <c r="O61" s="182"/>
      <c r="P61" s="21">
        <f t="shared" si="1"/>
        <v>0</v>
      </c>
      <c r="Q61" s="182"/>
      <c r="R61" s="182"/>
      <c r="S61" s="182"/>
      <c r="T61" s="182"/>
      <c r="U61" s="182"/>
      <c r="V61" s="182"/>
      <c r="W61" s="22"/>
      <c r="X61" s="22">
        <f t="shared" si="2"/>
        <v>0</v>
      </c>
      <c r="Y61" s="25"/>
    </row>
    <row r="62" spans="1:25" ht="31.5">
      <c r="A62" s="498"/>
      <c r="B62" s="498"/>
      <c r="C62" s="498"/>
      <c r="D62" s="43">
        <v>57</v>
      </c>
      <c r="E62" s="43" t="s">
        <v>95</v>
      </c>
      <c r="F62" s="182"/>
      <c r="G62" s="182"/>
      <c r="H62" s="182"/>
      <c r="I62" s="183"/>
      <c r="J62" s="48">
        <f t="shared" si="0"/>
        <v>0</v>
      </c>
      <c r="K62" s="182"/>
      <c r="L62" s="182"/>
      <c r="M62" s="182"/>
      <c r="N62" s="182"/>
      <c r="O62" s="182"/>
      <c r="P62" s="21">
        <f t="shared" si="1"/>
        <v>0</v>
      </c>
      <c r="Q62" s="183"/>
      <c r="R62" s="183"/>
      <c r="S62" s="182"/>
      <c r="T62" s="182"/>
      <c r="U62" s="182"/>
      <c r="V62" s="182"/>
      <c r="W62" s="22"/>
      <c r="X62" s="22">
        <f t="shared" si="2"/>
        <v>0</v>
      </c>
      <c r="Y62" s="192"/>
    </row>
    <row r="63" spans="1:25" ht="31.5">
      <c r="A63" s="498"/>
      <c r="B63" s="498"/>
      <c r="C63" s="498"/>
      <c r="D63" s="43">
        <v>58</v>
      </c>
      <c r="E63" s="43" t="s">
        <v>97</v>
      </c>
      <c r="F63" s="182"/>
      <c r="G63" s="182"/>
      <c r="H63" s="182"/>
      <c r="I63" s="182"/>
      <c r="J63" s="21">
        <f t="shared" si="0"/>
        <v>0</v>
      </c>
      <c r="K63" s="182"/>
      <c r="L63" s="182"/>
      <c r="M63" s="182"/>
      <c r="N63" s="182"/>
      <c r="O63" s="184"/>
      <c r="P63" s="22">
        <f t="shared" si="1"/>
        <v>0</v>
      </c>
      <c r="Q63" s="182"/>
      <c r="R63" s="182"/>
      <c r="S63" s="182"/>
      <c r="T63" s="182"/>
      <c r="U63" s="182"/>
      <c r="V63" s="182"/>
      <c r="W63" s="22"/>
      <c r="X63" s="22">
        <f t="shared" si="2"/>
        <v>0</v>
      </c>
      <c r="Y63" s="192"/>
    </row>
    <row r="64" spans="1:25" ht="15.75">
      <c r="A64" s="498"/>
      <c r="B64" s="498"/>
      <c r="C64" s="498"/>
      <c r="D64" s="43">
        <v>59</v>
      </c>
      <c r="E64" s="43" t="s">
        <v>98</v>
      </c>
      <c r="F64" s="182"/>
      <c r="G64" s="182"/>
      <c r="H64" s="182"/>
      <c r="I64" s="182"/>
      <c r="J64" s="21">
        <f t="shared" si="0"/>
        <v>0</v>
      </c>
      <c r="K64" s="182"/>
      <c r="L64" s="182"/>
      <c r="M64" s="182"/>
      <c r="N64" s="182"/>
      <c r="O64" s="182"/>
      <c r="P64" s="21">
        <f t="shared" si="1"/>
        <v>0</v>
      </c>
      <c r="Q64" s="182"/>
      <c r="R64" s="182"/>
      <c r="S64" s="182"/>
      <c r="T64" s="182"/>
      <c r="U64" s="182"/>
      <c r="V64" s="182"/>
      <c r="W64" s="22"/>
      <c r="X64" s="22">
        <f t="shared" si="2"/>
        <v>0</v>
      </c>
      <c r="Y64" s="25"/>
    </row>
    <row r="65" spans="1:25" ht="31.5">
      <c r="A65" s="498"/>
      <c r="B65" s="498"/>
      <c r="C65" s="498"/>
      <c r="D65" s="43">
        <v>60</v>
      </c>
      <c r="E65" s="43" t="s">
        <v>99</v>
      </c>
      <c r="F65" s="182"/>
      <c r="G65" s="182"/>
      <c r="H65" s="182"/>
      <c r="I65" s="182"/>
      <c r="J65" s="21">
        <f t="shared" si="0"/>
        <v>0</v>
      </c>
      <c r="K65" s="182"/>
      <c r="L65" s="182"/>
      <c r="M65" s="182"/>
      <c r="N65" s="182"/>
      <c r="O65" s="182"/>
      <c r="P65" s="21">
        <f t="shared" si="1"/>
        <v>0</v>
      </c>
      <c r="Q65" s="182"/>
      <c r="R65" s="182"/>
      <c r="S65" s="182"/>
      <c r="T65" s="182"/>
      <c r="U65" s="182"/>
      <c r="V65" s="182"/>
      <c r="W65" s="22"/>
      <c r="X65" s="22">
        <f t="shared" si="2"/>
        <v>0</v>
      </c>
      <c r="Y65" s="25"/>
    </row>
    <row r="66" spans="1:25" ht="31.5" hidden="1">
      <c r="A66" s="498"/>
      <c r="B66" s="496"/>
      <c r="C66" s="496"/>
      <c r="D66" s="43">
        <v>61</v>
      </c>
      <c r="E66" s="43" t="s">
        <v>44</v>
      </c>
      <c r="F66" s="182"/>
      <c r="G66" s="182"/>
      <c r="H66" s="182"/>
      <c r="I66" s="182"/>
      <c r="J66" s="21">
        <f t="shared" si="0"/>
        <v>0</v>
      </c>
      <c r="K66" s="182"/>
      <c r="L66" s="182"/>
      <c r="M66" s="182"/>
      <c r="N66" s="182"/>
      <c r="O66" s="182"/>
      <c r="P66" s="21">
        <f t="shared" si="1"/>
        <v>0</v>
      </c>
      <c r="Q66" s="182"/>
      <c r="R66" s="182"/>
      <c r="S66" s="182"/>
      <c r="T66" s="182"/>
      <c r="U66" s="182"/>
      <c r="V66" s="182"/>
      <c r="W66" s="22"/>
      <c r="X66" s="22">
        <f t="shared" si="2"/>
        <v>0</v>
      </c>
      <c r="Y66" s="25"/>
    </row>
    <row r="67" spans="1:25" ht="110.25">
      <c r="A67" s="498"/>
      <c r="B67" s="43" t="s">
        <v>100</v>
      </c>
      <c r="C67" s="43" t="s">
        <v>101</v>
      </c>
      <c r="D67" s="43">
        <v>62</v>
      </c>
      <c r="E67" s="43" t="s">
        <v>102</v>
      </c>
      <c r="F67" s="182"/>
      <c r="G67" s="182"/>
      <c r="H67" s="182"/>
      <c r="I67" s="182"/>
      <c r="J67" s="21">
        <f t="shared" si="0"/>
        <v>0</v>
      </c>
      <c r="K67" s="182"/>
      <c r="L67" s="182"/>
      <c r="M67" s="182"/>
      <c r="N67" s="182"/>
      <c r="O67" s="182"/>
      <c r="P67" s="21">
        <f t="shared" si="1"/>
        <v>0</v>
      </c>
      <c r="Q67" s="184"/>
      <c r="R67" s="184"/>
      <c r="S67" s="183"/>
      <c r="T67" s="183"/>
      <c r="U67" s="183"/>
      <c r="V67" s="183"/>
      <c r="W67" s="22"/>
      <c r="X67" s="22">
        <f t="shared" si="2"/>
        <v>0</v>
      </c>
      <c r="Y67" s="25"/>
    </row>
    <row r="68" spans="1:25" ht="48" customHeight="1">
      <c r="A68" s="496"/>
      <c r="B68" s="500" t="s">
        <v>103</v>
      </c>
      <c r="C68" s="489"/>
      <c r="D68" s="490"/>
      <c r="E68" s="59"/>
      <c r="F68" s="60">
        <f t="shared" ref="F68:W68" si="3">SUM(F6:F67)</f>
        <v>20.566350000000003</v>
      </c>
      <c r="G68" s="60">
        <f t="shared" si="3"/>
        <v>0</v>
      </c>
      <c r="H68" s="60">
        <f t="shared" si="3"/>
        <v>0</v>
      </c>
      <c r="I68" s="60">
        <f t="shared" si="3"/>
        <v>0</v>
      </c>
      <c r="J68" s="60">
        <f t="shared" si="3"/>
        <v>0</v>
      </c>
      <c r="K68" s="60">
        <f t="shared" si="3"/>
        <v>0</v>
      </c>
      <c r="L68" s="60">
        <f t="shared" si="3"/>
        <v>6.3975</v>
      </c>
      <c r="M68" s="60">
        <f t="shared" si="3"/>
        <v>0</v>
      </c>
      <c r="N68" s="60">
        <f t="shared" si="3"/>
        <v>0</v>
      </c>
      <c r="O68" s="60">
        <f t="shared" si="3"/>
        <v>26.428100000000001</v>
      </c>
      <c r="P68" s="60">
        <f t="shared" si="3"/>
        <v>26.428100000000001</v>
      </c>
      <c r="Q68" s="60">
        <f t="shared" si="3"/>
        <v>0</v>
      </c>
      <c r="R68" s="60">
        <f t="shared" si="3"/>
        <v>25.114600000000003</v>
      </c>
      <c r="S68" s="60">
        <f t="shared" si="3"/>
        <v>0</v>
      </c>
      <c r="T68" s="60">
        <f t="shared" si="3"/>
        <v>175.93890000000002</v>
      </c>
      <c r="U68" s="60">
        <f t="shared" si="3"/>
        <v>0</v>
      </c>
      <c r="V68" s="60">
        <f t="shared" si="3"/>
        <v>0</v>
      </c>
      <c r="W68" s="60">
        <f t="shared" si="3"/>
        <v>0</v>
      </c>
      <c r="X68" s="60">
        <f t="shared" si="2"/>
        <v>254.44545000000002</v>
      </c>
      <c r="Y68" s="25"/>
    </row>
    <row r="69" spans="1:25" ht="81.75" customHeight="1">
      <c r="A69" s="499" t="s">
        <v>104</v>
      </c>
      <c r="B69" s="43" t="s">
        <v>105</v>
      </c>
      <c r="C69" s="43" t="s">
        <v>106</v>
      </c>
      <c r="D69" s="43">
        <v>63</v>
      </c>
      <c r="E69" s="43" t="s">
        <v>107</v>
      </c>
      <c r="F69" s="182"/>
      <c r="G69" s="182"/>
      <c r="H69" s="182"/>
      <c r="I69" s="182"/>
      <c r="J69" s="21">
        <f t="shared" ref="J69:J79" si="4">H69+I69</f>
        <v>0</v>
      </c>
      <c r="K69" s="182"/>
      <c r="L69" s="182"/>
      <c r="M69" s="182"/>
      <c r="N69" s="182"/>
      <c r="O69" s="182"/>
      <c r="P69" s="21">
        <f t="shared" ref="P69:P78" si="5">N69+O69</f>
        <v>0</v>
      </c>
      <c r="Q69" s="183"/>
      <c r="R69" s="183"/>
      <c r="S69" s="184"/>
      <c r="T69" s="184"/>
      <c r="U69" s="48"/>
      <c r="V69" s="48">
        <v>0.5</v>
      </c>
      <c r="X69" s="22">
        <f t="shared" si="2"/>
        <v>0.5</v>
      </c>
      <c r="Y69" s="359" t="s">
        <v>369</v>
      </c>
    </row>
    <row r="70" spans="1:25" ht="236.25">
      <c r="A70" s="498"/>
      <c r="B70" s="497" t="s">
        <v>108</v>
      </c>
      <c r="C70" s="497" t="s">
        <v>109</v>
      </c>
      <c r="D70" s="43">
        <v>64</v>
      </c>
      <c r="E70" s="43" t="s">
        <v>110</v>
      </c>
      <c r="F70" s="182"/>
      <c r="G70" s="182"/>
      <c r="H70" s="182"/>
      <c r="I70" s="183"/>
      <c r="J70" s="48">
        <f t="shared" si="4"/>
        <v>0</v>
      </c>
      <c r="K70" s="184"/>
      <c r="L70" s="184">
        <v>0</v>
      </c>
      <c r="M70" s="182"/>
      <c r="N70" s="182"/>
      <c r="O70" s="184">
        <v>1.87</v>
      </c>
      <c r="P70" s="22">
        <f t="shared" si="5"/>
        <v>1.87</v>
      </c>
      <c r="Q70" s="213"/>
      <c r="R70" s="182">
        <v>0</v>
      </c>
      <c r="S70" s="184"/>
      <c r="T70" s="184">
        <v>1.5</v>
      </c>
      <c r="U70" s="195"/>
      <c r="V70" s="183">
        <v>0</v>
      </c>
      <c r="W70" s="22"/>
      <c r="X70" s="22">
        <f t="shared" si="2"/>
        <v>3.37</v>
      </c>
      <c r="Y70" s="25" t="s">
        <v>1051</v>
      </c>
    </row>
    <row r="71" spans="1:25" ht="29.25" customHeight="1">
      <c r="A71" s="498"/>
      <c r="B71" s="498"/>
      <c r="C71" s="498"/>
      <c r="D71" s="43">
        <v>65</v>
      </c>
      <c r="E71" s="43" t="s">
        <v>111</v>
      </c>
      <c r="F71" s="182"/>
      <c r="G71" s="182"/>
      <c r="H71" s="182"/>
      <c r="I71" s="182"/>
      <c r="J71" s="21">
        <f t="shared" si="4"/>
        <v>0</v>
      </c>
      <c r="K71" s="182"/>
      <c r="L71" s="182"/>
      <c r="M71" s="182"/>
      <c r="N71" s="182"/>
      <c r="O71" s="182"/>
      <c r="P71" s="21">
        <f t="shared" si="5"/>
        <v>0</v>
      </c>
      <c r="Q71" s="182"/>
      <c r="R71" s="182"/>
      <c r="S71" s="183"/>
      <c r="T71" s="183">
        <v>0.25</v>
      </c>
      <c r="U71" s="183"/>
      <c r="V71" s="183"/>
      <c r="W71" s="22"/>
      <c r="X71" s="22">
        <f t="shared" si="2"/>
        <v>0.25</v>
      </c>
      <c r="Y71" s="25" t="s">
        <v>1052</v>
      </c>
    </row>
    <row r="72" spans="1:25" ht="126">
      <c r="A72" s="498"/>
      <c r="B72" s="498"/>
      <c r="C72" s="498"/>
      <c r="D72" s="43">
        <v>66</v>
      </c>
      <c r="E72" s="43" t="s">
        <v>112</v>
      </c>
      <c r="F72" s="182"/>
      <c r="G72" s="182"/>
      <c r="H72" s="182"/>
      <c r="I72" s="182"/>
      <c r="J72" s="21">
        <f t="shared" si="4"/>
        <v>0</v>
      </c>
      <c r="K72" s="182"/>
      <c r="L72" s="182"/>
      <c r="M72" s="182"/>
      <c r="N72" s="182"/>
      <c r="O72" s="184"/>
      <c r="P72" s="22">
        <f t="shared" si="5"/>
        <v>0</v>
      </c>
      <c r="Q72" s="182"/>
      <c r="R72" s="182"/>
      <c r="S72" s="183"/>
      <c r="T72" s="183">
        <v>0.09</v>
      </c>
      <c r="U72" s="182"/>
      <c r="V72" s="182"/>
      <c r="W72" s="22"/>
      <c r="X72" s="22">
        <f t="shared" si="2"/>
        <v>0.09</v>
      </c>
      <c r="Y72" s="25" t="s">
        <v>1053</v>
      </c>
    </row>
    <row r="73" spans="1:25" ht="204.75">
      <c r="A73" s="498"/>
      <c r="B73" s="498"/>
      <c r="C73" s="498"/>
      <c r="D73" s="43">
        <v>67</v>
      </c>
      <c r="E73" s="43" t="s">
        <v>113</v>
      </c>
      <c r="F73" s="182"/>
      <c r="G73" s="182"/>
      <c r="H73" s="182"/>
      <c r="I73" s="182"/>
      <c r="J73" s="21">
        <f t="shared" si="4"/>
        <v>0</v>
      </c>
      <c r="K73" s="182"/>
      <c r="L73" s="182"/>
      <c r="M73" s="182"/>
      <c r="N73" s="182"/>
      <c r="O73" s="184"/>
      <c r="P73" s="22">
        <f t="shared" si="5"/>
        <v>0</v>
      </c>
      <c r="Q73" s="182"/>
      <c r="R73" s="182"/>
      <c r="S73" s="183"/>
      <c r="T73" s="183">
        <v>19.010000000000002</v>
      </c>
      <c r="U73" s="183"/>
      <c r="V73" s="183">
        <v>1</v>
      </c>
      <c r="W73" s="22"/>
      <c r="X73" s="22">
        <f t="shared" si="2"/>
        <v>20.010000000000002</v>
      </c>
      <c r="Y73" s="25" t="s">
        <v>1061</v>
      </c>
    </row>
    <row r="74" spans="1:25" ht="31.5">
      <c r="A74" s="498"/>
      <c r="B74" s="496"/>
      <c r="C74" s="496"/>
      <c r="D74" s="43">
        <v>68</v>
      </c>
      <c r="E74" s="43" t="s">
        <v>114</v>
      </c>
      <c r="F74" s="183"/>
      <c r="G74" s="182"/>
      <c r="H74" s="182"/>
      <c r="I74" s="182"/>
      <c r="J74" s="21">
        <f t="shared" si="4"/>
        <v>0</v>
      </c>
      <c r="K74" s="184"/>
      <c r="L74" s="184"/>
      <c r="M74" s="182"/>
      <c r="N74" s="182"/>
      <c r="O74" s="184"/>
      <c r="P74" s="22">
        <f t="shared" si="5"/>
        <v>0</v>
      </c>
      <c r="Q74" s="182"/>
      <c r="R74" s="182"/>
      <c r="S74" s="183"/>
      <c r="T74" s="183">
        <v>7.0000000000000007E-2</v>
      </c>
      <c r="U74" s="183"/>
      <c r="V74" s="183"/>
      <c r="W74" s="22"/>
      <c r="X74" s="22">
        <f t="shared" si="2"/>
        <v>7.0000000000000007E-2</v>
      </c>
      <c r="Y74" s="25" t="s">
        <v>1058</v>
      </c>
    </row>
    <row r="75" spans="1:25" ht="409.5">
      <c r="A75" s="498"/>
      <c r="B75" s="497" t="s">
        <v>115</v>
      </c>
      <c r="C75" s="497" t="s">
        <v>116</v>
      </c>
      <c r="D75" s="43">
        <v>69</v>
      </c>
      <c r="E75" s="43" t="s">
        <v>117</v>
      </c>
      <c r="F75" s="196"/>
      <c r="G75" s="196"/>
      <c r="H75" s="196"/>
      <c r="I75" s="196"/>
      <c r="J75" s="21">
        <f t="shared" si="4"/>
        <v>0</v>
      </c>
      <c r="K75" s="196"/>
      <c r="L75" s="196"/>
      <c r="M75" s="196"/>
      <c r="N75" s="196"/>
      <c r="O75" s="196"/>
      <c r="P75" s="21">
        <f t="shared" si="5"/>
        <v>0</v>
      </c>
      <c r="Q75" s="197"/>
      <c r="R75" s="197">
        <v>0.2</v>
      </c>
      <c r="S75" s="197"/>
      <c r="T75" s="197">
        <f>0.4+42.08+2.104+0.72+0.631+0.2104+0.9+26.5</f>
        <v>73.545400000000001</v>
      </c>
      <c r="U75" s="196"/>
      <c r="V75" s="196"/>
      <c r="W75" s="22"/>
      <c r="X75" s="22">
        <f t="shared" si="2"/>
        <v>73.745400000000004</v>
      </c>
      <c r="Y75" s="141" t="s">
        <v>1043</v>
      </c>
    </row>
    <row r="76" spans="1:25" ht="204.75">
      <c r="A76" s="498"/>
      <c r="B76" s="498"/>
      <c r="C76" s="498"/>
      <c r="D76" s="43">
        <v>70</v>
      </c>
      <c r="E76" s="43" t="s">
        <v>118</v>
      </c>
      <c r="F76" s="197"/>
      <c r="G76" s="196"/>
      <c r="H76" s="196"/>
      <c r="I76" s="196"/>
      <c r="J76" s="21">
        <f t="shared" si="4"/>
        <v>0</v>
      </c>
      <c r="K76" s="198"/>
      <c r="L76" s="198">
        <v>7.3999999999999996E-2</v>
      </c>
      <c r="M76" s="196"/>
      <c r="N76" s="196"/>
      <c r="O76" s="196"/>
      <c r="P76" s="21">
        <f t="shared" si="5"/>
        <v>0</v>
      </c>
      <c r="Q76" s="196"/>
      <c r="R76" s="196"/>
      <c r="S76" s="197"/>
      <c r="T76" s="197">
        <v>1.1000000000000001</v>
      </c>
      <c r="U76" s="196"/>
      <c r="V76" s="196"/>
      <c r="W76" s="22"/>
      <c r="X76" s="22">
        <f t="shared" si="2"/>
        <v>1.1740000000000002</v>
      </c>
      <c r="Y76" s="141" t="s">
        <v>918</v>
      </c>
    </row>
    <row r="77" spans="1:25" ht="15.75">
      <c r="A77" s="498"/>
      <c r="B77" s="498"/>
      <c r="C77" s="498"/>
      <c r="D77" s="43">
        <v>71</v>
      </c>
      <c r="E77" s="43" t="s">
        <v>119</v>
      </c>
      <c r="F77" s="196"/>
      <c r="G77" s="196"/>
      <c r="H77" s="196"/>
      <c r="I77" s="196"/>
      <c r="J77" s="21">
        <f t="shared" si="4"/>
        <v>0</v>
      </c>
      <c r="K77" s="196"/>
      <c r="L77" s="196"/>
      <c r="M77" s="196"/>
      <c r="N77" s="196"/>
      <c r="O77" s="196"/>
      <c r="P77" s="21">
        <f t="shared" si="5"/>
        <v>0</v>
      </c>
      <c r="Q77" s="196"/>
      <c r="R77" s="196"/>
      <c r="S77" s="196"/>
      <c r="T77" s="196"/>
      <c r="U77" s="196"/>
      <c r="V77" s="196"/>
      <c r="W77" s="22"/>
      <c r="X77" s="22">
        <f t="shared" si="2"/>
        <v>0</v>
      </c>
      <c r="Y77" s="25"/>
    </row>
    <row r="78" spans="1:25" ht="31.5">
      <c r="A78" s="498"/>
      <c r="B78" s="496"/>
      <c r="C78" s="496"/>
      <c r="D78" s="43">
        <v>72</v>
      </c>
      <c r="E78" s="43" t="s">
        <v>120</v>
      </c>
      <c r="F78" s="196"/>
      <c r="G78" s="196"/>
      <c r="H78" s="196"/>
      <c r="I78" s="199"/>
      <c r="J78" s="21">
        <f t="shared" si="4"/>
        <v>0</v>
      </c>
      <c r="K78" s="199"/>
      <c r="L78" s="199"/>
      <c r="M78" s="199"/>
      <c r="N78" s="199"/>
      <c r="O78" s="200"/>
      <c r="P78" s="66">
        <f t="shared" si="5"/>
        <v>0</v>
      </c>
      <c r="Q78" s="201"/>
      <c r="R78" s="201"/>
      <c r="S78" s="48"/>
      <c r="T78" s="48"/>
      <c r="U78" s="199"/>
      <c r="V78" s="199"/>
      <c r="W78" s="22"/>
      <c r="X78" s="22">
        <f t="shared" si="2"/>
        <v>0</v>
      </c>
      <c r="Y78" s="25"/>
    </row>
    <row r="79" spans="1:25" ht="409.5">
      <c r="A79" s="498"/>
      <c r="B79" s="497" t="s">
        <v>121</v>
      </c>
      <c r="C79" s="497" t="s">
        <v>122</v>
      </c>
      <c r="D79" s="43">
        <v>73</v>
      </c>
      <c r="E79" s="43" t="s">
        <v>123</v>
      </c>
      <c r="F79" s="202">
        <v>2.2000000000000002</v>
      </c>
      <c r="G79" s="202"/>
      <c r="H79" s="202"/>
      <c r="I79" s="202">
        <v>0.4</v>
      </c>
      <c r="J79" s="68">
        <f t="shared" si="4"/>
        <v>0.4</v>
      </c>
      <c r="K79" s="202"/>
      <c r="L79" s="202">
        <v>1.4</v>
      </c>
      <c r="M79" s="202"/>
      <c r="N79" s="202"/>
      <c r="O79" s="202">
        <v>2.8</v>
      </c>
      <c r="P79" s="203">
        <f>O79</f>
        <v>2.8</v>
      </c>
      <c r="Q79" s="202"/>
      <c r="R79" s="202">
        <v>8.4</v>
      </c>
      <c r="S79" s="202"/>
      <c r="T79" s="202">
        <v>0.8</v>
      </c>
      <c r="U79" s="202"/>
      <c r="V79" s="202">
        <v>0.5</v>
      </c>
      <c r="W79" s="22"/>
      <c r="X79" s="22">
        <f t="shared" si="2"/>
        <v>16.5</v>
      </c>
      <c r="Y79" s="25" t="s">
        <v>1104</v>
      </c>
    </row>
    <row r="80" spans="1:25" ht="78.75">
      <c r="A80" s="498"/>
      <c r="B80" s="498"/>
      <c r="C80" s="498"/>
      <c r="D80" s="43">
        <v>74</v>
      </c>
      <c r="E80" s="43" t="s">
        <v>124</v>
      </c>
      <c r="F80" s="202">
        <v>58</v>
      </c>
      <c r="G80" s="202"/>
      <c r="H80" s="202"/>
      <c r="I80" s="204"/>
      <c r="J80" s="197">
        <v>0</v>
      </c>
      <c r="K80" s="204"/>
      <c r="L80" s="204"/>
      <c r="M80" s="204"/>
      <c r="N80" s="204"/>
      <c r="O80" s="204"/>
      <c r="P80" s="197">
        <v>0</v>
      </c>
      <c r="Q80" s="204"/>
      <c r="R80" s="204"/>
      <c r="S80" s="204"/>
      <c r="T80" s="204"/>
      <c r="U80" s="204"/>
      <c r="V80" s="204"/>
      <c r="W80" s="22"/>
      <c r="X80" s="22">
        <f t="shared" si="2"/>
        <v>58</v>
      </c>
      <c r="Y80" s="25" t="s">
        <v>1105</v>
      </c>
    </row>
    <row r="81" spans="1:25" ht="267.75">
      <c r="A81" s="498"/>
      <c r="B81" s="498"/>
      <c r="C81" s="498"/>
      <c r="D81" s="43">
        <v>75</v>
      </c>
      <c r="E81" s="43" t="s">
        <v>125</v>
      </c>
      <c r="F81" s="202">
        <v>1.2</v>
      </c>
      <c r="G81" s="202"/>
      <c r="H81" s="202"/>
      <c r="I81" s="204"/>
      <c r="J81" s="197">
        <v>0</v>
      </c>
      <c r="K81" s="204"/>
      <c r="L81" s="204"/>
      <c r="M81" s="204"/>
      <c r="N81" s="204"/>
      <c r="O81" s="204"/>
      <c r="P81" s="197">
        <v>0</v>
      </c>
      <c r="Q81" s="204"/>
      <c r="R81" s="204"/>
      <c r="S81" s="202"/>
      <c r="T81" s="202">
        <v>2.2000000000000002</v>
      </c>
      <c r="U81" s="204"/>
      <c r="V81" s="204"/>
      <c r="W81" s="22"/>
      <c r="X81" s="22">
        <f t="shared" si="2"/>
        <v>3.4000000000000004</v>
      </c>
      <c r="Y81" s="25" t="s">
        <v>1106</v>
      </c>
    </row>
    <row r="82" spans="1:25" ht="47.25" customHeight="1">
      <c r="A82" s="498"/>
      <c r="B82" s="498"/>
      <c r="C82" s="498"/>
      <c r="D82" s="43">
        <v>76</v>
      </c>
      <c r="E82" s="43" t="s">
        <v>126</v>
      </c>
      <c r="F82" s="204">
        <v>1.5</v>
      </c>
      <c r="G82" s="204"/>
      <c r="H82" s="204"/>
      <c r="I82" s="204"/>
      <c r="J82" s="197">
        <v>0</v>
      </c>
      <c r="K82" s="204"/>
      <c r="L82" s="204"/>
      <c r="M82" s="204"/>
      <c r="N82" s="204"/>
      <c r="O82" s="202"/>
      <c r="P82" s="197">
        <v>0</v>
      </c>
      <c r="Q82" s="202"/>
      <c r="R82" s="202">
        <v>1.2</v>
      </c>
      <c r="S82" s="204"/>
      <c r="T82" s="204"/>
      <c r="U82" s="204"/>
      <c r="V82" s="204"/>
      <c r="W82" s="22"/>
      <c r="X82" s="22">
        <f t="shared" si="2"/>
        <v>2.7</v>
      </c>
      <c r="Y82" s="25" t="s">
        <v>1107</v>
      </c>
    </row>
    <row r="83" spans="1:25" ht="378">
      <c r="A83" s="498"/>
      <c r="B83" s="498"/>
      <c r="C83" s="498"/>
      <c r="D83" s="43">
        <v>77</v>
      </c>
      <c r="E83" s="43" t="s">
        <v>127</v>
      </c>
      <c r="F83" s="202">
        <v>0.3</v>
      </c>
      <c r="G83" s="202"/>
      <c r="H83" s="202"/>
      <c r="I83" s="202">
        <v>0.25</v>
      </c>
      <c r="J83" s="203">
        <f>I83</f>
        <v>0.25</v>
      </c>
      <c r="K83" s="202"/>
      <c r="L83" s="202">
        <v>3.5</v>
      </c>
      <c r="M83" s="204"/>
      <c r="N83" s="204"/>
      <c r="O83" s="202">
        <v>0.9</v>
      </c>
      <c r="P83" s="203">
        <f>O83</f>
        <v>0.9</v>
      </c>
      <c r="Q83" s="202"/>
      <c r="R83" s="202"/>
      <c r="S83" s="204"/>
      <c r="T83" s="204"/>
      <c r="U83" s="202"/>
      <c r="V83" s="202">
        <v>0</v>
      </c>
      <c r="W83" s="22"/>
      <c r="X83" s="22">
        <f t="shared" si="2"/>
        <v>4.95</v>
      </c>
      <c r="Y83" s="25" t="s">
        <v>1108</v>
      </c>
    </row>
    <row r="84" spans="1:25" ht="31.5">
      <c r="A84" s="498"/>
      <c r="B84" s="498"/>
      <c r="C84" s="498"/>
      <c r="D84" s="43">
        <v>78</v>
      </c>
      <c r="E84" s="43" t="s">
        <v>128</v>
      </c>
      <c r="F84" s="204"/>
      <c r="G84" s="204"/>
      <c r="H84" s="204"/>
      <c r="I84" s="204"/>
      <c r="J84" s="21">
        <f t="shared" ref="J84:J92" si="6">H84+I84</f>
        <v>0</v>
      </c>
      <c r="K84" s="204"/>
      <c r="L84" s="204"/>
      <c r="M84" s="204"/>
      <c r="N84" s="204"/>
      <c r="O84" s="204"/>
      <c r="P84" s="21">
        <f t="shared" ref="P84:P92" si="7">N84+O84</f>
        <v>0</v>
      </c>
      <c r="Q84" s="204"/>
      <c r="R84" s="204"/>
      <c r="S84" s="204"/>
      <c r="T84" s="204"/>
      <c r="U84" s="204"/>
      <c r="V84" s="204"/>
      <c r="W84" s="22"/>
      <c r="X84" s="22">
        <f t="shared" si="2"/>
        <v>0</v>
      </c>
      <c r="Y84" s="25"/>
    </row>
    <row r="85" spans="1:25" ht="15" hidden="1" customHeight="1">
      <c r="A85" s="498"/>
      <c r="B85" s="496"/>
      <c r="C85" s="496"/>
      <c r="D85" s="43">
        <v>79</v>
      </c>
      <c r="E85" s="43" t="s">
        <v>44</v>
      </c>
      <c r="F85" s="205"/>
      <c r="G85" s="205"/>
      <c r="H85" s="205"/>
      <c r="I85" s="205"/>
      <c r="J85" s="21">
        <f t="shared" si="6"/>
        <v>0</v>
      </c>
      <c r="K85" s="205"/>
      <c r="L85" s="205"/>
      <c r="M85" s="205"/>
      <c r="N85" s="205"/>
      <c r="O85" s="205"/>
      <c r="P85" s="21">
        <f t="shared" si="7"/>
        <v>0</v>
      </c>
      <c r="Q85" s="205"/>
      <c r="R85" s="205"/>
      <c r="S85" s="205"/>
      <c r="T85" s="205"/>
      <c r="U85" s="205"/>
      <c r="V85" s="205"/>
      <c r="W85" s="22"/>
      <c r="X85" s="22">
        <f t="shared" si="2"/>
        <v>0</v>
      </c>
      <c r="Y85" s="25"/>
    </row>
    <row r="86" spans="1:25" ht="15.75">
      <c r="A86" s="498"/>
      <c r="B86" s="497" t="s">
        <v>129</v>
      </c>
      <c r="C86" s="497" t="s">
        <v>130</v>
      </c>
      <c r="D86" s="43">
        <v>80</v>
      </c>
      <c r="E86" s="43" t="s">
        <v>131</v>
      </c>
      <c r="F86" s="182"/>
      <c r="G86" s="182"/>
      <c r="H86" s="182"/>
      <c r="I86" s="182"/>
      <c r="J86" s="21">
        <f t="shared" si="6"/>
        <v>0</v>
      </c>
      <c r="K86" s="182"/>
      <c r="L86" s="182"/>
      <c r="M86" s="182"/>
      <c r="N86" s="182"/>
      <c r="O86" s="206"/>
      <c r="P86" s="66">
        <f t="shared" si="7"/>
        <v>0</v>
      </c>
      <c r="Q86" s="184"/>
      <c r="R86" s="184"/>
      <c r="S86" s="183"/>
      <c r="T86" s="183"/>
      <c r="U86" s="182"/>
      <c r="V86" s="182"/>
      <c r="W86" s="22"/>
      <c r="X86" s="22">
        <f t="shared" si="2"/>
        <v>0</v>
      </c>
      <c r="Y86" s="25"/>
    </row>
    <row r="87" spans="1:25" ht="31.5">
      <c r="A87" s="498"/>
      <c r="B87" s="498"/>
      <c r="C87" s="498"/>
      <c r="D87" s="43">
        <v>81</v>
      </c>
      <c r="E87" s="43" t="s">
        <v>132</v>
      </c>
      <c r="F87" s="182"/>
      <c r="G87" s="182"/>
      <c r="H87" s="182"/>
      <c r="I87" s="182"/>
      <c r="J87" s="21">
        <f t="shared" si="6"/>
        <v>0</v>
      </c>
      <c r="K87" s="182"/>
      <c r="L87" s="182"/>
      <c r="M87" s="182"/>
      <c r="N87" s="182"/>
      <c r="O87" s="182"/>
      <c r="P87" s="21">
        <f t="shared" si="7"/>
        <v>0</v>
      </c>
      <c r="Q87" s="184"/>
      <c r="R87" s="184"/>
      <c r="S87" s="183"/>
      <c r="T87" s="183"/>
      <c r="U87" s="182"/>
      <c r="V87" s="182"/>
      <c r="W87" s="22"/>
      <c r="X87" s="22">
        <f t="shared" si="2"/>
        <v>0</v>
      </c>
      <c r="Y87" s="360"/>
    </row>
    <row r="88" spans="1:25" ht="47.25">
      <c r="A88" s="498"/>
      <c r="B88" s="498"/>
      <c r="C88" s="498"/>
      <c r="D88" s="43">
        <v>82</v>
      </c>
      <c r="E88" s="43" t="s">
        <v>133</v>
      </c>
      <c r="F88" s="182"/>
      <c r="G88" s="182"/>
      <c r="H88" s="182"/>
      <c r="I88" s="182"/>
      <c r="J88" s="21">
        <f t="shared" si="6"/>
        <v>0</v>
      </c>
      <c r="K88" s="182"/>
      <c r="L88" s="182"/>
      <c r="M88" s="182"/>
      <c r="N88" s="182"/>
      <c r="O88" s="182"/>
      <c r="P88" s="21">
        <f t="shared" si="7"/>
        <v>0</v>
      </c>
      <c r="Q88" s="182"/>
      <c r="R88" s="182"/>
      <c r="S88" s="183"/>
      <c r="T88" s="183">
        <v>0.1</v>
      </c>
      <c r="U88" s="182"/>
      <c r="V88" s="182"/>
      <c r="W88" s="22"/>
      <c r="X88" s="22">
        <f t="shared" si="2"/>
        <v>0.1</v>
      </c>
      <c r="Y88" s="359" t="s">
        <v>957</v>
      </c>
    </row>
    <row r="89" spans="1:25" ht="31.5">
      <c r="A89" s="498"/>
      <c r="B89" s="496"/>
      <c r="C89" s="496"/>
      <c r="D89" s="43">
        <v>83</v>
      </c>
      <c r="E89" s="43" t="s">
        <v>134</v>
      </c>
      <c r="F89" s="182"/>
      <c r="G89" s="182"/>
      <c r="H89" s="182"/>
      <c r="I89" s="182"/>
      <c r="J89" s="21">
        <f t="shared" si="6"/>
        <v>0</v>
      </c>
      <c r="K89" s="182"/>
      <c r="L89" s="182"/>
      <c r="M89" s="182"/>
      <c r="N89" s="182"/>
      <c r="O89" s="184">
        <v>0.5</v>
      </c>
      <c r="P89" s="22">
        <f t="shared" si="7"/>
        <v>0.5</v>
      </c>
      <c r="Q89" s="183"/>
      <c r="R89" s="183"/>
      <c r="S89" s="183"/>
      <c r="T89" s="183">
        <v>0</v>
      </c>
      <c r="U89" s="182"/>
      <c r="V89" s="182"/>
      <c r="W89" s="22"/>
      <c r="X89" s="22">
        <f t="shared" si="2"/>
        <v>0.5</v>
      </c>
      <c r="Y89" s="25" t="s">
        <v>956</v>
      </c>
    </row>
    <row r="90" spans="1:25" ht="78.75">
      <c r="A90" s="498"/>
      <c r="B90" s="43" t="s">
        <v>135</v>
      </c>
      <c r="C90" s="43" t="s">
        <v>136</v>
      </c>
      <c r="D90" s="43">
        <v>84</v>
      </c>
      <c r="E90" s="43" t="s">
        <v>137</v>
      </c>
      <c r="F90" s="182"/>
      <c r="G90" s="182"/>
      <c r="H90" s="182"/>
      <c r="I90" s="182"/>
      <c r="J90" s="21">
        <f t="shared" si="6"/>
        <v>0</v>
      </c>
      <c r="K90" s="184"/>
      <c r="L90" s="184"/>
      <c r="M90" s="182"/>
      <c r="N90" s="182"/>
      <c r="O90" s="184"/>
      <c r="P90" s="22">
        <f t="shared" si="7"/>
        <v>0</v>
      </c>
      <c r="Q90" s="182"/>
      <c r="R90" s="182"/>
      <c r="S90" s="182"/>
      <c r="T90" s="182"/>
      <c r="U90" s="182"/>
      <c r="V90" s="182"/>
      <c r="W90" s="22"/>
      <c r="X90" s="22">
        <f t="shared" si="2"/>
        <v>0</v>
      </c>
      <c r="Y90" s="25"/>
    </row>
    <row r="91" spans="1:25" ht="110.25">
      <c r="A91" s="498"/>
      <c r="B91" s="43" t="s">
        <v>138</v>
      </c>
      <c r="C91" s="43" t="s">
        <v>139</v>
      </c>
      <c r="D91" s="43">
        <v>85</v>
      </c>
      <c r="E91" s="43" t="s">
        <v>140</v>
      </c>
      <c r="F91" s="182"/>
      <c r="G91" s="182"/>
      <c r="H91" s="182"/>
      <c r="I91" s="182"/>
      <c r="J91" s="21">
        <f t="shared" si="6"/>
        <v>0</v>
      </c>
      <c r="K91" s="182"/>
      <c r="L91" s="182"/>
      <c r="M91" s="182"/>
      <c r="N91" s="182"/>
      <c r="O91" s="184"/>
      <c r="P91" s="22">
        <f t="shared" si="7"/>
        <v>0</v>
      </c>
      <c r="Q91" s="182"/>
      <c r="R91" s="182"/>
      <c r="S91" s="182"/>
      <c r="T91" s="182"/>
      <c r="U91" s="182"/>
      <c r="V91" s="182"/>
      <c r="W91" s="22"/>
      <c r="X91" s="22">
        <f t="shared" si="2"/>
        <v>0</v>
      </c>
      <c r="Y91" s="25"/>
    </row>
    <row r="92" spans="1:25" ht="78.75" hidden="1">
      <c r="A92" s="498"/>
      <c r="B92" s="43" t="s">
        <v>141</v>
      </c>
      <c r="C92" s="43" t="s">
        <v>44</v>
      </c>
      <c r="D92" s="43">
        <v>86</v>
      </c>
      <c r="E92" s="43" t="s">
        <v>142</v>
      </c>
      <c r="F92" s="21"/>
      <c r="G92" s="21"/>
      <c r="H92" s="21"/>
      <c r="I92" s="21"/>
      <c r="J92" s="21">
        <f t="shared" si="6"/>
        <v>0</v>
      </c>
      <c r="K92" s="21"/>
      <c r="L92" s="21"/>
      <c r="M92" s="21"/>
      <c r="N92" s="21"/>
      <c r="O92" s="21"/>
      <c r="P92" s="21">
        <f t="shared" si="7"/>
        <v>0</v>
      </c>
      <c r="Q92" s="21"/>
      <c r="R92" s="21"/>
      <c r="S92" s="21"/>
      <c r="T92" s="21"/>
      <c r="U92" s="21"/>
      <c r="V92" s="21"/>
      <c r="W92" s="22"/>
      <c r="X92" s="22">
        <f t="shared" si="2"/>
        <v>0</v>
      </c>
      <c r="Y92" s="25"/>
    </row>
    <row r="93" spans="1:25" ht="15.75">
      <c r="A93" s="496"/>
      <c r="B93" s="501" t="s">
        <v>143</v>
      </c>
      <c r="C93" s="489"/>
      <c r="D93" s="490"/>
      <c r="E93" s="43"/>
      <c r="F93" s="60">
        <f t="shared" ref="F93:W93" si="8">SUM(F69:F92)</f>
        <v>63.2</v>
      </c>
      <c r="G93" s="60">
        <f t="shared" si="8"/>
        <v>0</v>
      </c>
      <c r="H93" s="60">
        <f t="shared" si="8"/>
        <v>0</v>
      </c>
      <c r="I93" s="60">
        <f t="shared" si="8"/>
        <v>0.65</v>
      </c>
      <c r="J93" s="60">
        <f t="shared" si="8"/>
        <v>0.65</v>
      </c>
      <c r="K93" s="60">
        <f t="shared" si="8"/>
        <v>0</v>
      </c>
      <c r="L93" s="60">
        <f t="shared" si="8"/>
        <v>4.9740000000000002</v>
      </c>
      <c r="M93" s="60">
        <f t="shared" si="8"/>
        <v>0</v>
      </c>
      <c r="N93" s="60">
        <f t="shared" si="8"/>
        <v>0</v>
      </c>
      <c r="O93" s="60">
        <f t="shared" si="8"/>
        <v>6.07</v>
      </c>
      <c r="P93" s="60">
        <f t="shared" si="8"/>
        <v>6.07</v>
      </c>
      <c r="Q93" s="60">
        <f t="shared" si="8"/>
        <v>0</v>
      </c>
      <c r="R93" s="60">
        <f t="shared" si="8"/>
        <v>9.7999999999999989</v>
      </c>
      <c r="S93" s="60">
        <f t="shared" si="8"/>
        <v>0</v>
      </c>
      <c r="T93" s="60">
        <f t="shared" si="8"/>
        <v>98.665399999999991</v>
      </c>
      <c r="U93" s="60">
        <f t="shared" si="8"/>
        <v>0</v>
      </c>
      <c r="V93" s="60">
        <f t="shared" si="8"/>
        <v>2</v>
      </c>
      <c r="W93" s="60">
        <f t="shared" si="8"/>
        <v>0</v>
      </c>
      <c r="X93" s="60">
        <f t="shared" si="2"/>
        <v>185.35939999999999</v>
      </c>
      <c r="Y93" s="361"/>
    </row>
    <row r="94" spans="1:25" ht="110.25">
      <c r="A94" s="499" t="s">
        <v>144</v>
      </c>
      <c r="B94" s="497" t="s">
        <v>145</v>
      </c>
      <c r="C94" s="497" t="s">
        <v>146</v>
      </c>
      <c r="D94" s="43">
        <v>87</v>
      </c>
      <c r="E94" s="43" t="s">
        <v>147</v>
      </c>
      <c r="F94" s="207"/>
      <c r="G94" s="207"/>
      <c r="H94" s="207"/>
      <c r="I94" s="207"/>
      <c r="J94" s="21">
        <f t="shared" ref="J94:J133" si="9">H94+I94</f>
        <v>0</v>
      </c>
      <c r="K94" s="207"/>
      <c r="L94" s="207"/>
      <c r="M94" s="207"/>
      <c r="N94" s="207"/>
      <c r="O94" s="184">
        <v>15</v>
      </c>
      <c r="P94" s="22">
        <f t="shared" ref="P94:P133" si="10">N94+O94</f>
        <v>15</v>
      </c>
      <c r="Q94" s="207"/>
      <c r="R94" s="207"/>
      <c r="S94" s="207"/>
      <c r="T94" s="207"/>
      <c r="U94" s="207"/>
      <c r="V94" s="207"/>
      <c r="W94" s="22"/>
      <c r="X94" s="22">
        <f t="shared" si="2"/>
        <v>15</v>
      </c>
      <c r="Y94" s="156" t="s">
        <v>609</v>
      </c>
    </row>
    <row r="95" spans="1:25" ht="47.25">
      <c r="A95" s="498"/>
      <c r="B95" s="498"/>
      <c r="C95" s="498"/>
      <c r="D95" s="43">
        <v>88</v>
      </c>
      <c r="E95" s="43" t="s">
        <v>148</v>
      </c>
      <c r="F95" s="207"/>
      <c r="G95" s="207"/>
      <c r="H95" s="207"/>
      <c r="I95" s="207"/>
      <c r="J95" s="21">
        <f t="shared" si="9"/>
        <v>0</v>
      </c>
      <c r="K95" s="207"/>
      <c r="L95" s="207"/>
      <c r="M95" s="207"/>
      <c r="N95" s="207"/>
      <c r="O95" s="207"/>
      <c r="P95" s="21">
        <f t="shared" si="10"/>
        <v>0</v>
      </c>
      <c r="Q95" s="207"/>
      <c r="R95" s="207"/>
      <c r="S95" s="208"/>
      <c r="T95" s="208">
        <f>4+7</f>
        <v>11</v>
      </c>
      <c r="U95" s="207"/>
      <c r="V95" s="207"/>
      <c r="W95" s="22"/>
      <c r="X95" s="22">
        <f t="shared" si="2"/>
        <v>11</v>
      </c>
      <c r="Y95" s="156" t="s">
        <v>1155</v>
      </c>
    </row>
    <row r="96" spans="1:25" ht="47.25">
      <c r="A96" s="498"/>
      <c r="B96" s="498"/>
      <c r="C96" s="498"/>
      <c r="D96" s="43">
        <v>89</v>
      </c>
      <c r="E96" s="43" t="s">
        <v>149</v>
      </c>
      <c r="F96" s="207"/>
      <c r="G96" s="207"/>
      <c r="H96" s="207"/>
      <c r="I96" s="207"/>
      <c r="J96" s="21">
        <f t="shared" si="9"/>
        <v>0</v>
      </c>
      <c r="K96" s="207"/>
      <c r="L96" s="207"/>
      <c r="M96" s="207"/>
      <c r="N96" s="207"/>
      <c r="O96" s="207"/>
      <c r="P96" s="21">
        <f t="shared" si="10"/>
        <v>0</v>
      </c>
      <c r="Q96" s="207"/>
      <c r="R96" s="207"/>
      <c r="S96" s="207"/>
      <c r="T96" s="207"/>
      <c r="U96" s="207"/>
      <c r="V96" s="207"/>
      <c r="W96" s="22"/>
      <c r="X96" s="22">
        <f t="shared" si="2"/>
        <v>0</v>
      </c>
      <c r="Y96" s="156"/>
    </row>
    <row r="97" spans="1:25" ht="47.25">
      <c r="A97" s="498"/>
      <c r="B97" s="498"/>
      <c r="C97" s="498"/>
      <c r="D97" s="43">
        <v>90</v>
      </c>
      <c r="E97" s="43" t="s">
        <v>150</v>
      </c>
      <c r="F97" s="207"/>
      <c r="G97" s="207"/>
      <c r="H97" s="207"/>
      <c r="I97" s="207"/>
      <c r="J97" s="21">
        <f t="shared" si="9"/>
        <v>0</v>
      </c>
      <c r="K97" s="207"/>
      <c r="L97" s="207"/>
      <c r="M97" s="207"/>
      <c r="N97" s="207"/>
      <c r="O97" s="207"/>
      <c r="P97" s="21">
        <f t="shared" si="10"/>
        <v>0</v>
      </c>
      <c r="Q97" s="207"/>
      <c r="R97" s="207"/>
      <c r="S97" s="208"/>
      <c r="T97" s="208"/>
      <c r="U97" s="207"/>
      <c r="V97" s="207"/>
      <c r="W97" s="22"/>
      <c r="X97" s="22">
        <f t="shared" si="2"/>
        <v>0</v>
      </c>
      <c r="Y97" s="156"/>
    </row>
    <row r="98" spans="1:25" ht="31.5">
      <c r="A98" s="498"/>
      <c r="B98" s="498"/>
      <c r="C98" s="498"/>
      <c r="D98" s="43">
        <v>91</v>
      </c>
      <c r="E98" s="43" t="s">
        <v>151</v>
      </c>
      <c r="F98" s="207"/>
      <c r="G98" s="182"/>
      <c r="H98" s="182"/>
      <c r="I98" s="182"/>
      <c r="J98" s="21">
        <f t="shared" si="9"/>
        <v>0</v>
      </c>
      <c r="K98" s="182"/>
      <c r="L98" s="182"/>
      <c r="M98" s="182"/>
      <c r="N98" s="182"/>
      <c r="O98" s="184"/>
      <c r="P98" s="22">
        <f t="shared" si="10"/>
        <v>0</v>
      </c>
      <c r="Q98" s="182"/>
      <c r="R98" s="182"/>
      <c r="S98" s="183"/>
      <c r="T98" s="183"/>
      <c r="U98" s="207"/>
      <c r="V98" s="207"/>
      <c r="W98" s="22"/>
      <c r="X98" s="22">
        <f t="shared" si="2"/>
        <v>0</v>
      </c>
      <c r="Y98" s="160"/>
    </row>
    <row r="99" spans="1:25" ht="47.25">
      <c r="A99" s="498"/>
      <c r="B99" s="498"/>
      <c r="C99" s="498"/>
      <c r="D99" s="43">
        <v>92</v>
      </c>
      <c r="E99" s="43" t="s">
        <v>152</v>
      </c>
      <c r="F99" s="207"/>
      <c r="G99" s="207"/>
      <c r="H99" s="207"/>
      <c r="I99" s="207"/>
      <c r="J99" s="21">
        <f t="shared" si="9"/>
        <v>0</v>
      </c>
      <c r="K99" s="207"/>
      <c r="L99" s="207"/>
      <c r="M99" s="207"/>
      <c r="N99" s="207"/>
      <c r="O99" s="207"/>
      <c r="P99" s="21">
        <f t="shared" si="10"/>
        <v>0</v>
      </c>
      <c r="Q99" s="207"/>
      <c r="R99" s="207"/>
      <c r="S99" s="208"/>
      <c r="T99" s="208"/>
      <c r="U99" s="207"/>
      <c r="V99" s="207"/>
      <c r="W99" s="22"/>
      <c r="X99" s="22">
        <f t="shared" si="2"/>
        <v>0</v>
      </c>
      <c r="Y99" s="160"/>
    </row>
    <row r="100" spans="1:25" ht="78.75">
      <c r="A100" s="498"/>
      <c r="B100" s="498"/>
      <c r="C100" s="498"/>
      <c r="D100" s="43">
        <v>93</v>
      </c>
      <c r="E100" s="43" t="s">
        <v>153</v>
      </c>
      <c r="F100" s="207"/>
      <c r="G100" s="207"/>
      <c r="H100" s="207"/>
      <c r="I100" s="207"/>
      <c r="J100" s="21">
        <f t="shared" si="9"/>
        <v>0</v>
      </c>
      <c r="K100" s="208"/>
      <c r="L100" s="208">
        <v>4.5999999999999996</v>
      </c>
      <c r="M100" s="207"/>
      <c r="N100" s="207"/>
      <c r="O100" s="207"/>
      <c r="P100" s="21">
        <f t="shared" si="10"/>
        <v>0</v>
      </c>
      <c r="Q100" s="207"/>
      <c r="R100" s="207"/>
      <c r="S100" s="207"/>
      <c r="T100" s="207"/>
      <c r="U100" s="207"/>
      <c r="V100" s="207"/>
      <c r="W100" s="22"/>
      <c r="X100" s="22">
        <f t="shared" si="2"/>
        <v>4.5999999999999996</v>
      </c>
      <c r="Y100" s="160" t="s">
        <v>610</v>
      </c>
    </row>
    <row r="101" spans="1:25" ht="78.75">
      <c r="A101" s="498"/>
      <c r="B101" s="498"/>
      <c r="C101" s="498"/>
      <c r="D101" s="43">
        <v>94</v>
      </c>
      <c r="E101" s="43" t="s">
        <v>154</v>
      </c>
      <c r="F101" s="207"/>
      <c r="G101" s="207"/>
      <c r="H101" s="207"/>
      <c r="I101" s="207"/>
      <c r="J101" s="21">
        <f t="shared" si="9"/>
        <v>0</v>
      </c>
      <c r="K101" s="208"/>
      <c r="L101" s="208">
        <v>4.5999999999999996</v>
      </c>
      <c r="M101" s="207"/>
      <c r="N101" s="207"/>
      <c r="O101" s="207"/>
      <c r="P101" s="21">
        <f t="shared" si="10"/>
        <v>0</v>
      </c>
      <c r="Q101" s="207"/>
      <c r="R101" s="207"/>
      <c r="S101" s="207"/>
      <c r="T101" s="207"/>
      <c r="U101" s="207"/>
      <c r="V101" s="207"/>
      <c r="W101" s="22"/>
      <c r="X101" s="22">
        <f t="shared" si="2"/>
        <v>4.5999999999999996</v>
      </c>
      <c r="Y101" s="160" t="s">
        <v>611</v>
      </c>
    </row>
    <row r="102" spans="1:25" ht="63">
      <c r="A102" s="498"/>
      <c r="B102" s="498"/>
      <c r="C102" s="498"/>
      <c r="D102" s="43">
        <v>95</v>
      </c>
      <c r="E102" s="43" t="s">
        <v>155</v>
      </c>
      <c r="F102" s="207"/>
      <c r="G102" s="207"/>
      <c r="H102" s="207"/>
      <c r="I102" s="208"/>
      <c r="J102" s="48">
        <f t="shared" si="9"/>
        <v>0</v>
      </c>
      <c r="K102" s="184"/>
      <c r="L102" s="184"/>
      <c r="M102" s="207"/>
      <c r="N102" s="207"/>
      <c r="O102" s="207"/>
      <c r="P102" s="21">
        <f t="shared" si="10"/>
        <v>0</v>
      </c>
      <c r="Q102" s="207"/>
      <c r="R102" s="207"/>
      <c r="S102" s="207"/>
      <c r="T102" s="207"/>
      <c r="U102" s="207"/>
      <c r="V102" s="207"/>
      <c r="W102" s="22"/>
      <c r="X102" s="22">
        <f t="shared" si="2"/>
        <v>0</v>
      </c>
      <c r="Y102" s="25"/>
    </row>
    <row r="103" spans="1:25" ht="63">
      <c r="A103" s="498"/>
      <c r="B103" s="496"/>
      <c r="C103" s="496"/>
      <c r="D103" s="43">
        <v>96</v>
      </c>
      <c r="E103" s="43" t="s">
        <v>156</v>
      </c>
      <c r="F103" s="207"/>
      <c r="G103" s="207"/>
      <c r="H103" s="207"/>
      <c r="I103" s="207"/>
      <c r="J103" s="21">
        <f t="shared" si="9"/>
        <v>0</v>
      </c>
      <c r="K103" s="207"/>
      <c r="L103" s="207"/>
      <c r="M103" s="207"/>
      <c r="N103" s="207"/>
      <c r="O103" s="207"/>
      <c r="P103" s="21">
        <f t="shared" si="10"/>
        <v>0</v>
      </c>
      <c r="Q103" s="207"/>
      <c r="R103" s="207"/>
      <c r="S103" s="182"/>
      <c r="T103" s="182">
        <v>1</v>
      </c>
      <c r="U103" s="207"/>
      <c r="V103" s="207"/>
      <c r="W103" s="22"/>
      <c r="X103" s="22">
        <f t="shared" si="2"/>
        <v>1</v>
      </c>
      <c r="Y103" s="25" t="s">
        <v>157</v>
      </c>
    </row>
    <row r="104" spans="1:25" ht="141.75">
      <c r="A104" s="498"/>
      <c r="B104" s="497" t="s">
        <v>158</v>
      </c>
      <c r="C104" s="497" t="s">
        <v>159</v>
      </c>
      <c r="D104" s="43">
        <v>97</v>
      </c>
      <c r="E104" s="43" t="s">
        <v>160</v>
      </c>
      <c r="F104" s="197"/>
      <c r="G104" s="197"/>
      <c r="H104" s="197"/>
      <c r="I104" s="197"/>
      <c r="J104" s="21">
        <f t="shared" si="9"/>
        <v>0</v>
      </c>
      <c r="K104" s="209"/>
      <c r="L104" s="209"/>
      <c r="M104" s="197"/>
      <c r="N104" s="197"/>
      <c r="O104" s="209"/>
      <c r="P104" s="22">
        <f t="shared" si="10"/>
        <v>0</v>
      </c>
      <c r="Q104" s="209"/>
      <c r="R104" s="209"/>
      <c r="S104" s="210"/>
      <c r="T104" s="210">
        <v>11</v>
      </c>
      <c r="U104" s="197"/>
      <c r="V104" s="197"/>
      <c r="W104" s="22"/>
      <c r="X104" s="22">
        <f t="shared" si="2"/>
        <v>11</v>
      </c>
      <c r="Y104" s="25" t="s">
        <v>642</v>
      </c>
    </row>
    <row r="105" spans="1:25" ht="78.75">
      <c r="A105" s="498"/>
      <c r="B105" s="496"/>
      <c r="C105" s="496"/>
      <c r="D105" s="43">
        <v>98</v>
      </c>
      <c r="E105" s="43" t="s">
        <v>44</v>
      </c>
      <c r="F105" s="197"/>
      <c r="G105" s="197"/>
      <c r="H105" s="197"/>
      <c r="I105" s="197"/>
      <c r="J105" s="21">
        <f t="shared" si="9"/>
        <v>0</v>
      </c>
      <c r="K105" s="197"/>
      <c r="L105" s="197"/>
      <c r="M105" s="197"/>
      <c r="N105" s="197"/>
      <c r="O105" s="197"/>
      <c r="P105" s="21">
        <f t="shared" si="10"/>
        <v>0</v>
      </c>
      <c r="Q105" s="197"/>
      <c r="R105" s="197"/>
      <c r="S105" s="197"/>
      <c r="T105" s="197">
        <v>0.36</v>
      </c>
      <c r="U105" s="197"/>
      <c r="V105" s="197"/>
      <c r="W105" s="22"/>
      <c r="X105" s="22">
        <f t="shared" si="2"/>
        <v>0.36</v>
      </c>
      <c r="Y105" s="25" t="s">
        <v>631</v>
      </c>
    </row>
    <row r="106" spans="1:25" ht="15.75">
      <c r="A106" s="498"/>
      <c r="B106" s="497" t="s">
        <v>161</v>
      </c>
      <c r="C106" s="497" t="s">
        <v>162</v>
      </c>
      <c r="D106" s="43">
        <v>99</v>
      </c>
      <c r="E106" s="43" t="s">
        <v>163</v>
      </c>
      <c r="F106" s="197"/>
      <c r="G106" s="197"/>
      <c r="H106" s="197"/>
      <c r="I106" s="210"/>
      <c r="J106" s="48">
        <f t="shared" si="9"/>
        <v>0</v>
      </c>
      <c r="K106" s="209"/>
      <c r="L106" s="209"/>
      <c r="M106" s="197"/>
      <c r="N106" s="197"/>
      <c r="O106" s="209"/>
      <c r="P106" s="22">
        <f t="shared" si="10"/>
        <v>0</v>
      </c>
      <c r="Q106" s="197"/>
      <c r="R106" s="197"/>
      <c r="S106" s="197"/>
      <c r="T106" s="197"/>
      <c r="U106" s="197"/>
      <c r="V106" s="197"/>
      <c r="W106" s="22"/>
      <c r="X106" s="22">
        <f t="shared" si="2"/>
        <v>0</v>
      </c>
      <c r="Y106" s="192"/>
    </row>
    <row r="107" spans="1:25" ht="31.5">
      <c r="A107" s="498"/>
      <c r="B107" s="498"/>
      <c r="C107" s="498"/>
      <c r="D107" s="43">
        <v>100</v>
      </c>
      <c r="E107" s="43" t="s">
        <v>165</v>
      </c>
      <c r="F107" s="197"/>
      <c r="G107" s="197"/>
      <c r="H107" s="197"/>
      <c r="I107" s="197"/>
      <c r="J107" s="21">
        <f t="shared" si="9"/>
        <v>0</v>
      </c>
      <c r="K107" s="209"/>
      <c r="L107" s="209"/>
      <c r="M107" s="197"/>
      <c r="N107" s="197"/>
      <c r="O107" s="209"/>
      <c r="P107" s="22">
        <f t="shared" si="10"/>
        <v>0</v>
      </c>
      <c r="Q107" s="197"/>
      <c r="R107" s="197"/>
      <c r="S107" s="197"/>
      <c r="T107" s="197"/>
      <c r="U107" s="197"/>
      <c r="V107" s="197"/>
      <c r="W107" s="22"/>
      <c r="X107" s="22">
        <f t="shared" si="2"/>
        <v>0</v>
      </c>
      <c r="Y107" s="192"/>
    </row>
    <row r="108" spans="1:25" ht="31.5">
      <c r="A108" s="498"/>
      <c r="B108" s="498"/>
      <c r="C108" s="498"/>
      <c r="D108" s="43">
        <v>101</v>
      </c>
      <c r="E108" s="43" t="s">
        <v>166</v>
      </c>
      <c r="F108" s="197"/>
      <c r="G108" s="197"/>
      <c r="H108" s="197"/>
      <c r="I108" s="197"/>
      <c r="J108" s="21">
        <f t="shared" si="9"/>
        <v>0</v>
      </c>
      <c r="K108" s="197"/>
      <c r="L108" s="197"/>
      <c r="M108" s="197"/>
      <c r="N108" s="197"/>
      <c r="O108" s="197"/>
      <c r="P108" s="21">
        <f t="shared" si="10"/>
        <v>0</v>
      </c>
      <c r="Q108" s="197"/>
      <c r="R108" s="197"/>
      <c r="S108" s="197"/>
      <c r="T108" s="197"/>
      <c r="U108" s="197"/>
      <c r="V108" s="197"/>
      <c r="W108" s="22"/>
      <c r="X108" s="22">
        <f t="shared" si="2"/>
        <v>0</v>
      </c>
      <c r="Y108" s="192"/>
    </row>
    <row r="109" spans="1:25" ht="110.25">
      <c r="A109" s="498"/>
      <c r="B109" s="498"/>
      <c r="C109" s="498"/>
      <c r="D109" s="43">
        <v>102</v>
      </c>
      <c r="E109" s="43" t="s">
        <v>167</v>
      </c>
      <c r="F109" s="197"/>
      <c r="G109" s="197"/>
      <c r="H109" s="197"/>
      <c r="I109" s="197"/>
      <c r="J109" s="21">
        <f t="shared" si="9"/>
        <v>0</v>
      </c>
      <c r="K109" s="197"/>
      <c r="L109" s="197"/>
      <c r="M109" s="197"/>
      <c r="N109" s="197"/>
      <c r="O109" s="197"/>
      <c r="P109" s="21">
        <f t="shared" si="10"/>
        <v>0</v>
      </c>
      <c r="Q109" s="197"/>
      <c r="R109" s="197"/>
      <c r="S109" s="197"/>
      <c r="T109" s="197">
        <v>1.3</v>
      </c>
      <c r="U109" s="197"/>
      <c r="V109" s="197"/>
      <c r="W109" s="22"/>
      <c r="X109" s="22">
        <f t="shared" si="2"/>
        <v>1.3</v>
      </c>
      <c r="Y109" s="98" t="s">
        <v>650</v>
      </c>
    </row>
    <row r="110" spans="1:25" ht="31.5">
      <c r="A110" s="498"/>
      <c r="B110" s="496"/>
      <c r="C110" s="496"/>
      <c r="D110" s="43">
        <v>103</v>
      </c>
      <c r="E110" s="43" t="s">
        <v>44</v>
      </c>
      <c r="F110" s="197"/>
      <c r="G110" s="197"/>
      <c r="H110" s="197"/>
      <c r="I110" s="197"/>
      <c r="J110" s="21">
        <f t="shared" si="9"/>
        <v>0</v>
      </c>
      <c r="K110" s="197"/>
      <c r="L110" s="197"/>
      <c r="M110" s="197"/>
      <c r="N110" s="197"/>
      <c r="O110" s="197"/>
      <c r="P110" s="21">
        <f t="shared" si="10"/>
        <v>0</v>
      </c>
      <c r="Q110" s="197"/>
      <c r="R110" s="197"/>
      <c r="S110" s="210"/>
      <c r="T110" s="210"/>
      <c r="U110" s="210"/>
      <c r="V110" s="210"/>
      <c r="W110" s="22"/>
      <c r="X110" s="22">
        <f t="shared" si="2"/>
        <v>0</v>
      </c>
      <c r="Y110" s="25"/>
    </row>
    <row r="111" spans="1:25" ht="31.5">
      <c r="A111" s="498"/>
      <c r="B111" s="497" t="s">
        <v>168</v>
      </c>
      <c r="C111" s="497" t="s">
        <v>169</v>
      </c>
      <c r="D111" s="43">
        <v>104</v>
      </c>
      <c r="E111" s="43" t="s">
        <v>170</v>
      </c>
      <c r="F111" s="197"/>
      <c r="G111" s="197"/>
      <c r="H111" s="197"/>
      <c r="I111" s="197"/>
      <c r="J111" s="21">
        <f t="shared" si="9"/>
        <v>0</v>
      </c>
      <c r="K111" s="197"/>
      <c r="L111" s="197"/>
      <c r="M111" s="197"/>
      <c r="N111" s="197"/>
      <c r="O111" s="197"/>
      <c r="P111" s="21">
        <f t="shared" si="10"/>
        <v>0</v>
      </c>
      <c r="Q111" s="197"/>
      <c r="R111" s="197"/>
      <c r="S111" s="210"/>
      <c r="T111" s="210"/>
      <c r="U111" s="210"/>
      <c r="V111" s="210"/>
      <c r="W111" s="22"/>
      <c r="X111" s="22">
        <f t="shared" si="2"/>
        <v>0</v>
      </c>
      <c r="Y111" s="25"/>
    </row>
    <row r="112" spans="1:25" ht="189">
      <c r="A112" s="498"/>
      <c r="B112" s="498"/>
      <c r="C112" s="498"/>
      <c r="D112" s="43">
        <v>105</v>
      </c>
      <c r="E112" s="43" t="s">
        <v>171</v>
      </c>
      <c r="F112" s="197"/>
      <c r="G112" s="197"/>
      <c r="H112" s="197"/>
      <c r="I112" s="197"/>
      <c r="J112" s="21">
        <f t="shared" si="9"/>
        <v>0</v>
      </c>
      <c r="K112" s="197"/>
      <c r="L112" s="197"/>
      <c r="M112" s="197"/>
      <c r="N112" s="197"/>
      <c r="O112" s="197"/>
      <c r="P112" s="21">
        <f t="shared" si="10"/>
        <v>0</v>
      </c>
      <c r="Q112" s="197"/>
      <c r="R112" s="197"/>
      <c r="S112" s="209"/>
      <c r="T112" s="209">
        <v>2</v>
      </c>
      <c r="U112" s="197"/>
      <c r="V112" s="197"/>
      <c r="W112" s="22"/>
      <c r="X112" s="22">
        <f t="shared" si="2"/>
        <v>2</v>
      </c>
      <c r="Y112" s="25" t="s">
        <v>633</v>
      </c>
    </row>
    <row r="113" spans="1:25" ht="15.75">
      <c r="A113" s="498"/>
      <c r="B113" s="496"/>
      <c r="C113" s="496"/>
      <c r="D113" s="43">
        <v>106</v>
      </c>
      <c r="E113" s="43" t="s">
        <v>172</v>
      </c>
      <c r="F113" s="197"/>
      <c r="G113" s="197"/>
      <c r="H113" s="197"/>
      <c r="I113" s="197"/>
      <c r="J113" s="21">
        <f t="shared" si="9"/>
        <v>0</v>
      </c>
      <c r="K113" s="209"/>
      <c r="L113" s="209"/>
      <c r="M113" s="197"/>
      <c r="N113" s="197"/>
      <c r="O113" s="209"/>
      <c r="P113" s="22">
        <f t="shared" si="10"/>
        <v>0</v>
      </c>
      <c r="Q113" s="197"/>
      <c r="R113" s="197"/>
      <c r="S113" s="210"/>
      <c r="T113" s="210"/>
      <c r="U113" s="188"/>
      <c r="V113" s="188"/>
      <c r="W113" s="22"/>
      <c r="X113" s="22">
        <f t="shared" si="2"/>
        <v>0</v>
      </c>
      <c r="Y113" s="25"/>
    </row>
    <row r="114" spans="1:25" ht="62.25" customHeight="1">
      <c r="A114" s="498"/>
      <c r="B114" s="497" t="s">
        <v>173</v>
      </c>
      <c r="C114" s="497" t="s">
        <v>174</v>
      </c>
      <c r="D114" s="43">
        <v>107</v>
      </c>
      <c r="E114" s="43" t="s">
        <v>175</v>
      </c>
      <c r="F114" s="197"/>
      <c r="G114" s="197"/>
      <c r="H114" s="197"/>
      <c r="I114" s="197"/>
      <c r="J114" s="21">
        <f t="shared" si="9"/>
        <v>0</v>
      </c>
      <c r="K114" s="209"/>
      <c r="L114" s="209"/>
      <c r="M114" s="197"/>
      <c r="N114" s="197"/>
      <c r="O114" s="209"/>
      <c r="P114" s="22">
        <f t="shared" si="10"/>
        <v>0</v>
      </c>
      <c r="Q114" s="197"/>
      <c r="R114" s="197"/>
      <c r="S114" s="210"/>
      <c r="T114" s="210"/>
      <c r="U114" s="197"/>
      <c r="V114" s="197"/>
      <c r="W114" s="22"/>
      <c r="X114" s="22">
        <f t="shared" si="2"/>
        <v>0</v>
      </c>
      <c r="Y114" s="25"/>
    </row>
    <row r="115" spans="1:25" ht="39" customHeight="1">
      <c r="A115" s="498"/>
      <c r="B115" s="498"/>
      <c r="C115" s="498"/>
      <c r="D115" s="43">
        <v>108</v>
      </c>
      <c r="E115" s="43" t="s">
        <v>176</v>
      </c>
      <c r="F115" s="197"/>
      <c r="G115" s="197"/>
      <c r="H115" s="197"/>
      <c r="I115" s="197"/>
      <c r="J115" s="21">
        <f t="shared" si="9"/>
        <v>0</v>
      </c>
      <c r="K115" s="209"/>
      <c r="L115" s="209"/>
      <c r="M115" s="197"/>
      <c r="N115" s="197"/>
      <c r="O115" s="209"/>
      <c r="P115" s="22">
        <f t="shared" si="10"/>
        <v>0</v>
      </c>
      <c r="Q115" s="197"/>
      <c r="R115" s="197"/>
      <c r="S115" s="210"/>
      <c r="T115" s="210"/>
      <c r="U115" s="197"/>
      <c r="V115" s="197"/>
      <c r="W115" s="22"/>
      <c r="X115" s="22">
        <f t="shared" si="2"/>
        <v>0</v>
      </c>
      <c r="Y115" s="25"/>
    </row>
    <row r="116" spans="1:25" ht="36" customHeight="1">
      <c r="A116" s="498"/>
      <c r="B116" s="498"/>
      <c r="C116" s="498"/>
      <c r="D116" s="43">
        <v>109</v>
      </c>
      <c r="E116" s="43" t="s">
        <v>177</v>
      </c>
      <c r="F116" s="197"/>
      <c r="G116" s="197"/>
      <c r="H116" s="197"/>
      <c r="I116" s="210"/>
      <c r="J116" s="48">
        <f t="shared" si="9"/>
        <v>0</v>
      </c>
      <c r="K116" s="209"/>
      <c r="L116" s="209">
        <v>1</v>
      </c>
      <c r="M116" s="197"/>
      <c r="N116" s="197"/>
      <c r="O116" s="209"/>
      <c r="P116" s="22">
        <f t="shared" si="10"/>
        <v>0</v>
      </c>
      <c r="Q116" s="197"/>
      <c r="R116" s="197"/>
      <c r="S116" s="197"/>
      <c r="T116" s="197"/>
      <c r="U116" s="197"/>
      <c r="V116" s="197"/>
      <c r="W116" s="22"/>
      <c r="X116" s="22">
        <f t="shared" si="2"/>
        <v>1</v>
      </c>
      <c r="Y116" s="192" t="s">
        <v>634</v>
      </c>
    </row>
    <row r="117" spans="1:25" ht="31.5">
      <c r="A117" s="498"/>
      <c r="B117" s="498"/>
      <c r="C117" s="498"/>
      <c r="D117" s="43">
        <v>110</v>
      </c>
      <c r="E117" s="43" t="s">
        <v>178</v>
      </c>
      <c r="F117" s="197"/>
      <c r="G117" s="197"/>
      <c r="H117" s="197"/>
      <c r="I117" s="197"/>
      <c r="J117" s="21">
        <f t="shared" si="9"/>
        <v>0</v>
      </c>
      <c r="K117" s="209"/>
      <c r="L117" s="209"/>
      <c r="M117" s="197"/>
      <c r="N117" s="197"/>
      <c r="O117" s="209"/>
      <c r="P117" s="22">
        <f t="shared" si="10"/>
        <v>0</v>
      </c>
      <c r="Q117" s="210"/>
      <c r="R117" s="210"/>
      <c r="S117" s="209"/>
      <c r="T117" s="209"/>
      <c r="U117" s="197"/>
      <c r="V117" s="197"/>
      <c r="W117" s="22"/>
      <c r="X117" s="22">
        <f t="shared" si="2"/>
        <v>0</v>
      </c>
      <c r="Y117" s="25"/>
    </row>
    <row r="118" spans="1:25" ht="31.5" hidden="1">
      <c r="A118" s="498"/>
      <c r="B118" s="496"/>
      <c r="C118" s="496"/>
      <c r="D118" s="43">
        <v>111</v>
      </c>
      <c r="E118" s="43" t="s">
        <v>44</v>
      </c>
      <c r="F118" s="197"/>
      <c r="G118" s="197"/>
      <c r="H118" s="197"/>
      <c r="I118" s="197"/>
      <c r="J118" s="21">
        <f t="shared" si="9"/>
        <v>0</v>
      </c>
      <c r="K118" s="210"/>
      <c r="L118" s="210"/>
      <c r="M118" s="197"/>
      <c r="N118" s="197"/>
      <c r="O118" s="210"/>
      <c r="P118" s="48">
        <f t="shared" si="10"/>
        <v>0</v>
      </c>
      <c r="Q118" s="197"/>
      <c r="R118" s="197"/>
      <c r="S118" s="210"/>
      <c r="T118" s="210"/>
      <c r="U118" s="210"/>
      <c r="V118" s="210"/>
      <c r="W118" s="22"/>
      <c r="X118" s="22">
        <f t="shared" si="2"/>
        <v>0</v>
      </c>
      <c r="Y118" s="192"/>
    </row>
    <row r="119" spans="1:25" ht="15.75">
      <c r="A119" s="498"/>
      <c r="B119" s="497" t="s">
        <v>179</v>
      </c>
      <c r="C119" s="497" t="s">
        <v>180</v>
      </c>
      <c r="D119" s="43">
        <v>112</v>
      </c>
      <c r="E119" s="43" t="s">
        <v>181</v>
      </c>
      <c r="F119" s="197"/>
      <c r="G119" s="197"/>
      <c r="H119" s="197"/>
      <c r="I119" s="197"/>
      <c r="J119" s="21">
        <f t="shared" si="9"/>
        <v>0</v>
      </c>
      <c r="K119" s="209"/>
      <c r="L119" s="209"/>
      <c r="M119" s="197"/>
      <c r="N119" s="197"/>
      <c r="O119" s="209"/>
      <c r="P119" s="22">
        <f t="shared" si="10"/>
        <v>0</v>
      </c>
      <c r="Q119" s="197"/>
      <c r="R119" s="197"/>
      <c r="S119" s="197"/>
      <c r="T119" s="197"/>
      <c r="U119" s="197"/>
      <c r="V119" s="197"/>
      <c r="W119" s="22"/>
      <c r="X119" s="22">
        <f t="shared" si="2"/>
        <v>0</v>
      </c>
      <c r="Y119" s="192"/>
    </row>
    <row r="120" spans="1:25" ht="31.5">
      <c r="A120" s="498"/>
      <c r="B120" s="496"/>
      <c r="C120" s="496"/>
      <c r="D120" s="43">
        <v>113</v>
      </c>
      <c r="E120" s="43" t="s">
        <v>182</v>
      </c>
      <c r="F120" s="197"/>
      <c r="G120" s="197"/>
      <c r="H120" s="197"/>
      <c r="I120" s="197"/>
      <c r="J120" s="21">
        <f t="shared" si="9"/>
        <v>0</v>
      </c>
      <c r="K120" s="209"/>
      <c r="L120" s="209"/>
      <c r="M120" s="197"/>
      <c r="N120" s="197"/>
      <c r="O120" s="209"/>
      <c r="P120" s="22">
        <f t="shared" si="10"/>
        <v>0</v>
      </c>
      <c r="Q120" s="209"/>
      <c r="R120" s="209"/>
      <c r="S120" s="197"/>
      <c r="T120" s="197"/>
      <c r="U120" s="197"/>
      <c r="V120" s="197"/>
      <c r="W120" s="22"/>
      <c r="X120" s="22">
        <f t="shared" si="2"/>
        <v>0</v>
      </c>
      <c r="Y120" s="192"/>
    </row>
    <row r="121" spans="1:25" ht="173.25">
      <c r="A121" s="498"/>
      <c r="B121" s="43" t="s">
        <v>183</v>
      </c>
      <c r="C121" s="43" t="s">
        <v>184</v>
      </c>
      <c r="D121" s="43">
        <v>114</v>
      </c>
      <c r="E121" s="43" t="s">
        <v>185</v>
      </c>
      <c r="F121" s="197"/>
      <c r="G121" s="197"/>
      <c r="H121" s="197"/>
      <c r="I121" s="210">
        <v>6</v>
      </c>
      <c r="J121" s="48">
        <f t="shared" si="9"/>
        <v>6</v>
      </c>
      <c r="K121" s="197"/>
      <c r="L121" s="197">
        <v>0.4</v>
      </c>
      <c r="M121" s="197"/>
      <c r="N121" s="197"/>
      <c r="O121" s="197"/>
      <c r="P121" s="21">
        <f t="shared" si="10"/>
        <v>0</v>
      </c>
      <c r="Q121" s="197"/>
      <c r="R121" s="197"/>
      <c r="S121" s="197"/>
      <c r="T121" s="197">
        <v>2.5</v>
      </c>
      <c r="U121" s="210"/>
      <c r="V121" s="210"/>
      <c r="W121" s="22"/>
      <c r="X121" s="22">
        <f t="shared" si="2"/>
        <v>8.9</v>
      </c>
      <c r="Y121" s="25" t="s">
        <v>635</v>
      </c>
    </row>
    <row r="122" spans="1:25" ht="31.5">
      <c r="A122" s="498"/>
      <c r="B122" s="497" t="s">
        <v>186</v>
      </c>
      <c r="C122" s="497" t="s">
        <v>187</v>
      </c>
      <c r="D122" s="43">
        <v>115</v>
      </c>
      <c r="E122" s="43" t="s">
        <v>188</v>
      </c>
      <c r="F122" s="197"/>
      <c r="G122" s="197"/>
      <c r="H122" s="197"/>
      <c r="I122" s="197"/>
      <c r="J122" s="21">
        <f t="shared" si="9"/>
        <v>0</v>
      </c>
      <c r="K122" s="197"/>
      <c r="L122" s="197"/>
      <c r="M122" s="197"/>
      <c r="N122" s="197"/>
      <c r="O122" s="197"/>
      <c r="P122" s="21">
        <f t="shared" si="10"/>
        <v>0</v>
      </c>
      <c r="Q122" s="209"/>
      <c r="R122" s="209"/>
      <c r="S122" s="197"/>
      <c r="T122" s="197">
        <v>1.5</v>
      </c>
      <c r="U122" s="197"/>
      <c r="V122" s="197"/>
      <c r="W122" s="22"/>
      <c r="X122" s="22">
        <f t="shared" si="2"/>
        <v>1.5</v>
      </c>
      <c r="Y122" s="25" t="s">
        <v>636</v>
      </c>
    </row>
    <row r="123" spans="1:25" ht="47.25">
      <c r="A123" s="498"/>
      <c r="B123" s="498"/>
      <c r="C123" s="498"/>
      <c r="D123" s="43">
        <v>116</v>
      </c>
      <c r="E123" s="43" t="s">
        <v>189</v>
      </c>
      <c r="F123" s="197"/>
      <c r="G123" s="197"/>
      <c r="H123" s="197"/>
      <c r="I123" s="197"/>
      <c r="J123" s="21">
        <f t="shared" si="9"/>
        <v>0</v>
      </c>
      <c r="K123" s="197"/>
      <c r="L123" s="197"/>
      <c r="M123" s="197"/>
      <c r="N123" s="197"/>
      <c r="O123" s="197"/>
      <c r="P123" s="21">
        <f t="shared" si="10"/>
        <v>0</v>
      </c>
      <c r="Q123" s="209"/>
      <c r="R123" s="209">
        <v>4.95</v>
      </c>
      <c r="S123" s="197"/>
      <c r="T123" s="197"/>
      <c r="U123" s="197"/>
      <c r="V123" s="197"/>
      <c r="W123" s="22"/>
      <c r="X123" s="22">
        <f t="shared" si="2"/>
        <v>4.95</v>
      </c>
      <c r="Y123" s="25" t="s">
        <v>637</v>
      </c>
    </row>
    <row r="124" spans="1:25" ht="31.5">
      <c r="A124" s="498"/>
      <c r="B124" s="498"/>
      <c r="C124" s="498"/>
      <c r="D124" s="43">
        <v>117</v>
      </c>
      <c r="E124" s="43" t="s">
        <v>190</v>
      </c>
      <c r="F124" s="197"/>
      <c r="G124" s="197"/>
      <c r="H124" s="197"/>
      <c r="I124" s="197"/>
      <c r="J124" s="21">
        <f t="shared" si="9"/>
        <v>0</v>
      </c>
      <c r="K124" s="197"/>
      <c r="L124" s="197"/>
      <c r="M124" s="197"/>
      <c r="N124" s="197"/>
      <c r="O124" s="197"/>
      <c r="P124" s="21">
        <f t="shared" si="10"/>
        <v>0</v>
      </c>
      <c r="Q124" s="197"/>
      <c r="R124" s="197"/>
      <c r="S124" s="197"/>
      <c r="T124" s="197"/>
      <c r="U124" s="197"/>
      <c r="V124" s="197"/>
      <c r="W124" s="209"/>
      <c r="X124" s="22">
        <f t="shared" si="2"/>
        <v>0</v>
      </c>
      <c r="Y124" s="25"/>
    </row>
    <row r="125" spans="1:25" ht="31.5" hidden="1">
      <c r="A125" s="498"/>
      <c r="B125" s="496"/>
      <c r="C125" s="496"/>
      <c r="D125" s="43">
        <v>118</v>
      </c>
      <c r="E125" s="43" t="s">
        <v>44</v>
      </c>
      <c r="F125" s="197"/>
      <c r="G125" s="197"/>
      <c r="H125" s="197"/>
      <c r="I125" s="197"/>
      <c r="J125" s="21">
        <f t="shared" si="9"/>
        <v>0</v>
      </c>
      <c r="K125" s="197"/>
      <c r="L125" s="197"/>
      <c r="M125" s="197"/>
      <c r="N125" s="197"/>
      <c r="O125" s="197"/>
      <c r="P125" s="21">
        <f t="shared" si="10"/>
        <v>0</v>
      </c>
      <c r="Q125" s="197"/>
      <c r="R125" s="197"/>
      <c r="S125" s="197"/>
      <c r="T125" s="197"/>
      <c r="U125" s="197"/>
      <c r="V125" s="197"/>
      <c r="W125" s="209"/>
      <c r="X125" s="22">
        <f t="shared" si="2"/>
        <v>0</v>
      </c>
      <c r="Y125" s="25"/>
    </row>
    <row r="126" spans="1:25" ht="78.75">
      <c r="A126" s="498"/>
      <c r="B126" s="43" t="s">
        <v>191</v>
      </c>
      <c r="C126" s="43" t="s">
        <v>192</v>
      </c>
      <c r="D126" s="43">
        <v>119</v>
      </c>
      <c r="E126" s="43" t="s">
        <v>193</v>
      </c>
      <c r="F126" s="197"/>
      <c r="G126" s="197"/>
      <c r="H126" s="197"/>
      <c r="I126" s="210"/>
      <c r="J126" s="48">
        <f t="shared" si="9"/>
        <v>0</v>
      </c>
      <c r="K126" s="209"/>
      <c r="L126" s="209"/>
      <c r="M126" s="197"/>
      <c r="N126" s="197"/>
      <c r="O126" s="197"/>
      <c r="P126" s="21">
        <f t="shared" si="10"/>
        <v>0</v>
      </c>
      <c r="Q126" s="197"/>
      <c r="R126" s="197"/>
      <c r="S126" s="210"/>
      <c r="T126" s="210">
        <v>5</v>
      </c>
      <c r="U126" s="197"/>
      <c r="V126" s="197"/>
      <c r="W126" s="22"/>
      <c r="X126" s="22">
        <f t="shared" si="2"/>
        <v>5</v>
      </c>
      <c r="Y126" s="25" t="s">
        <v>638</v>
      </c>
    </row>
    <row r="127" spans="1:25" ht="126">
      <c r="A127" s="498"/>
      <c r="B127" s="43" t="s">
        <v>194</v>
      </c>
      <c r="C127" s="43" t="s">
        <v>195</v>
      </c>
      <c r="D127" s="43">
        <v>120</v>
      </c>
      <c r="E127" s="43" t="s">
        <v>196</v>
      </c>
      <c r="F127" s="197"/>
      <c r="G127" s="197"/>
      <c r="H127" s="197"/>
      <c r="I127" s="197"/>
      <c r="J127" s="21">
        <f t="shared" si="9"/>
        <v>0</v>
      </c>
      <c r="K127" s="197"/>
      <c r="L127" s="197"/>
      <c r="M127" s="197"/>
      <c r="N127" s="197"/>
      <c r="O127" s="210"/>
      <c r="P127" s="48">
        <f t="shared" si="10"/>
        <v>0</v>
      </c>
      <c r="Q127" s="210"/>
      <c r="R127" s="210"/>
      <c r="S127" s="210"/>
      <c r="T127" s="210"/>
      <c r="U127" s="197"/>
      <c r="V127" s="197"/>
      <c r="W127" s="22"/>
      <c r="X127" s="22">
        <f t="shared" si="2"/>
        <v>0</v>
      </c>
      <c r="Y127" s="25"/>
    </row>
    <row r="128" spans="1:25" ht="15.75">
      <c r="A128" s="498"/>
      <c r="B128" s="497" t="s">
        <v>197</v>
      </c>
      <c r="C128" s="497" t="s">
        <v>198</v>
      </c>
      <c r="D128" s="43">
        <v>121</v>
      </c>
      <c r="E128" s="43" t="s">
        <v>199</v>
      </c>
      <c r="F128" s="197"/>
      <c r="G128" s="197"/>
      <c r="H128" s="197"/>
      <c r="I128" s="197"/>
      <c r="J128" s="21">
        <f t="shared" si="9"/>
        <v>0</v>
      </c>
      <c r="K128" s="209"/>
      <c r="L128" s="209"/>
      <c r="M128" s="197"/>
      <c r="N128" s="197"/>
      <c r="O128" s="197"/>
      <c r="P128" s="21">
        <f t="shared" si="10"/>
        <v>0</v>
      </c>
      <c r="Q128" s="197"/>
      <c r="R128" s="197"/>
      <c r="S128" s="197"/>
      <c r="T128" s="197"/>
      <c r="U128" s="197"/>
      <c r="V128" s="197"/>
      <c r="W128" s="22"/>
      <c r="X128" s="22">
        <f t="shared" si="2"/>
        <v>0</v>
      </c>
      <c r="Y128" s="25"/>
    </row>
    <row r="129" spans="1:25" ht="38.25" customHeight="1">
      <c r="A129" s="498"/>
      <c r="B129" s="498"/>
      <c r="C129" s="498"/>
      <c r="D129" s="43">
        <v>122</v>
      </c>
      <c r="E129" s="43" t="s">
        <v>200</v>
      </c>
      <c r="F129" s="197"/>
      <c r="G129" s="197"/>
      <c r="H129" s="197"/>
      <c r="I129" s="197"/>
      <c r="J129" s="21">
        <f t="shared" si="9"/>
        <v>0</v>
      </c>
      <c r="K129" s="197"/>
      <c r="L129" s="197"/>
      <c r="M129" s="197"/>
      <c r="N129" s="197"/>
      <c r="O129" s="197"/>
      <c r="P129" s="21">
        <f t="shared" si="10"/>
        <v>0</v>
      </c>
      <c r="Q129" s="197"/>
      <c r="R129" s="197"/>
      <c r="S129" s="197"/>
      <c r="T129" s="197"/>
      <c r="U129" s="197"/>
      <c r="V129" s="197"/>
      <c r="W129" s="22"/>
      <c r="X129" s="22">
        <f t="shared" si="2"/>
        <v>0</v>
      </c>
      <c r="Y129" s="25"/>
    </row>
    <row r="130" spans="1:25" ht="25.5" customHeight="1">
      <c r="A130" s="498"/>
      <c r="B130" s="496"/>
      <c r="C130" s="496"/>
      <c r="D130" s="43">
        <v>123</v>
      </c>
      <c r="E130" s="43" t="s">
        <v>201</v>
      </c>
      <c r="F130" s="197"/>
      <c r="G130" s="197"/>
      <c r="H130" s="197"/>
      <c r="I130" s="197"/>
      <c r="J130" s="21">
        <f t="shared" si="9"/>
        <v>0</v>
      </c>
      <c r="K130" s="197"/>
      <c r="L130" s="197"/>
      <c r="M130" s="197"/>
      <c r="N130" s="197"/>
      <c r="O130" s="197"/>
      <c r="P130" s="21">
        <f t="shared" si="10"/>
        <v>0</v>
      </c>
      <c r="Q130" s="197"/>
      <c r="R130" s="197"/>
      <c r="S130" s="210"/>
      <c r="T130" s="210"/>
      <c r="U130" s="197"/>
      <c r="V130" s="197"/>
      <c r="W130" s="22"/>
      <c r="X130" s="22">
        <f t="shared" si="2"/>
        <v>0</v>
      </c>
      <c r="Y130" s="25"/>
    </row>
    <row r="131" spans="1:25" ht="15.75">
      <c r="A131" s="498"/>
      <c r="B131" s="497" t="s">
        <v>202</v>
      </c>
      <c r="C131" s="497" t="s">
        <v>203</v>
      </c>
      <c r="D131" s="43">
        <v>124</v>
      </c>
      <c r="E131" s="43" t="s">
        <v>204</v>
      </c>
      <c r="F131" s="197"/>
      <c r="G131" s="197"/>
      <c r="H131" s="197"/>
      <c r="I131" s="210"/>
      <c r="J131" s="48">
        <f t="shared" si="9"/>
        <v>0</v>
      </c>
      <c r="K131" s="197"/>
      <c r="L131" s="197"/>
      <c r="M131" s="197"/>
      <c r="N131" s="197"/>
      <c r="O131" s="197"/>
      <c r="P131" s="21">
        <f t="shared" si="10"/>
        <v>0</v>
      </c>
      <c r="Q131" s="197"/>
      <c r="R131" s="197"/>
      <c r="S131" s="197"/>
      <c r="T131" s="197"/>
      <c r="U131" s="197"/>
      <c r="V131" s="197"/>
      <c r="W131" s="22"/>
      <c r="X131" s="22">
        <f t="shared" si="2"/>
        <v>0</v>
      </c>
      <c r="Y131" s="192"/>
    </row>
    <row r="132" spans="1:25" ht="46.5" customHeight="1">
      <c r="A132" s="498"/>
      <c r="B132" s="496"/>
      <c r="C132" s="496"/>
      <c r="D132" s="43">
        <v>125</v>
      </c>
      <c r="E132" s="43" t="s">
        <v>205</v>
      </c>
      <c r="F132" s="197"/>
      <c r="G132" s="197"/>
      <c r="H132" s="197"/>
      <c r="I132" s="210"/>
      <c r="J132" s="48">
        <f t="shared" si="9"/>
        <v>0</v>
      </c>
      <c r="K132" s="197"/>
      <c r="L132" s="197"/>
      <c r="M132" s="197"/>
      <c r="N132" s="197"/>
      <c r="O132" s="197"/>
      <c r="P132" s="21">
        <f t="shared" si="10"/>
        <v>0</v>
      </c>
      <c r="Q132" s="197"/>
      <c r="R132" s="197"/>
      <c r="S132" s="197"/>
      <c r="T132" s="197"/>
      <c r="U132" s="197"/>
      <c r="V132" s="197"/>
      <c r="W132" s="22"/>
      <c r="X132" s="22">
        <f t="shared" si="2"/>
        <v>0</v>
      </c>
      <c r="Y132" s="192"/>
    </row>
    <row r="133" spans="1:25" ht="57.75" hidden="1" customHeight="1">
      <c r="A133" s="498"/>
      <c r="B133" s="43" t="s">
        <v>206</v>
      </c>
      <c r="C133" s="43" t="s">
        <v>207</v>
      </c>
      <c r="D133" s="43">
        <v>126</v>
      </c>
      <c r="E133" s="43" t="s">
        <v>142</v>
      </c>
      <c r="F133" s="182"/>
      <c r="G133" s="182"/>
      <c r="H133" s="182"/>
      <c r="I133" s="182"/>
      <c r="J133" s="21">
        <f t="shared" si="9"/>
        <v>0</v>
      </c>
      <c r="K133" s="182"/>
      <c r="L133" s="182"/>
      <c r="M133" s="182"/>
      <c r="N133" s="182"/>
      <c r="O133" s="182"/>
      <c r="P133" s="21">
        <f t="shared" si="10"/>
        <v>0</v>
      </c>
      <c r="Q133" s="182"/>
      <c r="R133" s="182"/>
      <c r="S133" s="182"/>
      <c r="T133" s="182"/>
      <c r="U133" s="182"/>
      <c r="V133" s="182"/>
      <c r="W133" s="22"/>
      <c r="X133" s="22">
        <f t="shared" si="2"/>
        <v>0</v>
      </c>
      <c r="Y133" s="25"/>
    </row>
    <row r="134" spans="1:25" ht="26.25" customHeight="1">
      <c r="A134" s="496"/>
      <c r="B134" s="501" t="s">
        <v>208</v>
      </c>
      <c r="C134" s="489"/>
      <c r="D134" s="490"/>
      <c r="E134" s="43"/>
      <c r="F134" s="74">
        <f t="shared" ref="F134:W134" si="11">SUM(F94:F133)</f>
        <v>0</v>
      </c>
      <c r="G134" s="74">
        <f t="shared" si="11"/>
        <v>0</v>
      </c>
      <c r="H134" s="74">
        <f t="shared" si="11"/>
        <v>0</v>
      </c>
      <c r="I134" s="74">
        <f t="shared" si="11"/>
        <v>6</v>
      </c>
      <c r="J134" s="74">
        <f t="shared" si="11"/>
        <v>6</v>
      </c>
      <c r="K134" s="74">
        <f t="shared" si="11"/>
        <v>0</v>
      </c>
      <c r="L134" s="74">
        <f t="shared" si="11"/>
        <v>10.6</v>
      </c>
      <c r="M134" s="74">
        <f t="shared" si="11"/>
        <v>0</v>
      </c>
      <c r="N134" s="74">
        <f t="shared" si="11"/>
        <v>0</v>
      </c>
      <c r="O134" s="60">
        <f t="shared" si="11"/>
        <v>15</v>
      </c>
      <c r="P134" s="60">
        <f t="shared" si="11"/>
        <v>15</v>
      </c>
      <c r="Q134" s="74">
        <f t="shared" si="11"/>
        <v>0</v>
      </c>
      <c r="R134" s="74">
        <f t="shared" si="11"/>
        <v>4.95</v>
      </c>
      <c r="S134" s="74">
        <f t="shared" si="11"/>
        <v>0</v>
      </c>
      <c r="T134" s="74">
        <f t="shared" si="11"/>
        <v>35.659999999999997</v>
      </c>
      <c r="U134" s="74">
        <f t="shared" si="11"/>
        <v>0</v>
      </c>
      <c r="V134" s="74">
        <f t="shared" si="11"/>
        <v>0</v>
      </c>
      <c r="W134" s="60">
        <f t="shared" si="11"/>
        <v>0</v>
      </c>
      <c r="X134" s="60">
        <f t="shared" si="2"/>
        <v>72.210000000000008</v>
      </c>
      <c r="Y134" s="236"/>
    </row>
    <row r="135" spans="1:25" ht="63">
      <c r="A135" s="499" t="s">
        <v>209</v>
      </c>
      <c r="B135" s="497" t="s">
        <v>210</v>
      </c>
      <c r="C135" s="497" t="s">
        <v>211</v>
      </c>
      <c r="D135" s="43">
        <v>127</v>
      </c>
      <c r="E135" s="43" t="s">
        <v>212</v>
      </c>
      <c r="F135" s="182"/>
      <c r="G135" s="182"/>
      <c r="H135" s="182"/>
      <c r="I135" s="182"/>
      <c r="J135" s="21">
        <f t="shared" ref="J135:J157" si="12">H135+I135</f>
        <v>0</v>
      </c>
      <c r="K135" s="182"/>
      <c r="L135" s="182"/>
      <c r="M135" s="182"/>
      <c r="N135" s="182"/>
      <c r="O135" s="182"/>
      <c r="P135" s="21">
        <f t="shared" ref="P135:P157" si="13">N135+O135</f>
        <v>0</v>
      </c>
      <c r="Q135" s="182"/>
      <c r="R135" s="182"/>
      <c r="S135" s="182"/>
      <c r="T135" s="182"/>
      <c r="U135" s="182"/>
      <c r="V135" s="182"/>
      <c r="W135" s="22"/>
      <c r="X135" s="22">
        <f t="shared" si="2"/>
        <v>0</v>
      </c>
      <c r="Y135" s="25"/>
    </row>
    <row r="136" spans="1:25" ht="39" customHeight="1">
      <c r="A136" s="498"/>
      <c r="B136" s="496"/>
      <c r="C136" s="496"/>
      <c r="D136" s="43">
        <v>128</v>
      </c>
      <c r="E136" s="43" t="s">
        <v>213</v>
      </c>
      <c r="F136" s="182"/>
      <c r="G136" s="182"/>
      <c r="H136" s="182"/>
      <c r="I136" s="182"/>
      <c r="J136" s="21">
        <f t="shared" si="12"/>
        <v>0</v>
      </c>
      <c r="K136" s="182"/>
      <c r="L136" s="182"/>
      <c r="M136" s="182"/>
      <c r="N136" s="182"/>
      <c r="O136" s="184"/>
      <c r="P136" s="22">
        <f t="shared" si="13"/>
        <v>0</v>
      </c>
      <c r="Q136" s="182"/>
      <c r="R136" s="182"/>
      <c r="S136" s="187"/>
      <c r="T136" s="187"/>
      <c r="U136" s="182"/>
      <c r="V136" s="182"/>
      <c r="W136" s="22"/>
      <c r="X136" s="22">
        <f t="shared" si="2"/>
        <v>0</v>
      </c>
      <c r="Y136" s="25"/>
    </row>
    <row r="137" spans="1:25" ht="31.5">
      <c r="A137" s="498"/>
      <c r="B137" s="43"/>
      <c r="C137" s="43"/>
      <c r="D137" s="43">
        <v>129</v>
      </c>
      <c r="E137" s="43" t="s">
        <v>214</v>
      </c>
      <c r="F137" s="182"/>
      <c r="G137" s="182"/>
      <c r="H137" s="182"/>
      <c r="I137" s="182"/>
      <c r="J137" s="21">
        <f t="shared" si="12"/>
        <v>0</v>
      </c>
      <c r="K137" s="182"/>
      <c r="L137" s="182"/>
      <c r="M137" s="182"/>
      <c r="N137" s="182"/>
      <c r="O137" s="182"/>
      <c r="P137" s="21">
        <f t="shared" si="13"/>
        <v>0</v>
      </c>
      <c r="Q137" s="182"/>
      <c r="R137" s="182"/>
      <c r="S137" s="182"/>
      <c r="T137" s="182"/>
      <c r="U137" s="182"/>
      <c r="V137" s="182"/>
      <c r="W137" s="22"/>
      <c r="X137" s="22">
        <f t="shared" si="2"/>
        <v>0</v>
      </c>
      <c r="Y137" s="25"/>
    </row>
    <row r="138" spans="1:25" ht="47.25">
      <c r="A138" s="498"/>
      <c r="B138" s="497" t="s">
        <v>215</v>
      </c>
      <c r="C138" s="497" t="s">
        <v>216</v>
      </c>
      <c r="D138" s="43">
        <v>130</v>
      </c>
      <c r="E138" s="43" t="s">
        <v>217</v>
      </c>
      <c r="F138" s="182"/>
      <c r="G138" s="182"/>
      <c r="H138" s="182"/>
      <c r="I138" s="182"/>
      <c r="J138" s="21">
        <f t="shared" si="12"/>
        <v>0</v>
      </c>
      <c r="K138" s="182"/>
      <c r="L138" s="182"/>
      <c r="M138" s="182"/>
      <c r="N138" s="182"/>
      <c r="O138" s="182"/>
      <c r="P138" s="21">
        <f t="shared" si="13"/>
        <v>0</v>
      </c>
      <c r="Q138" s="182"/>
      <c r="R138" s="182"/>
      <c r="S138" s="182"/>
      <c r="T138" s="182"/>
      <c r="U138" s="182"/>
      <c r="V138" s="182"/>
      <c r="W138" s="22"/>
      <c r="X138" s="22">
        <f t="shared" si="2"/>
        <v>0</v>
      </c>
      <c r="Y138" s="25"/>
    </row>
    <row r="139" spans="1:25" ht="15.75">
      <c r="A139" s="498"/>
      <c r="B139" s="498"/>
      <c r="C139" s="498"/>
      <c r="D139" s="43">
        <v>131</v>
      </c>
      <c r="E139" s="43" t="s">
        <v>218</v>
      </c>
      <c r="F139" s="182"/>
      <c r="G139" s="182"/>
      <c r="H139" s="182"/>
      <c r="I139" s="182"/>
      <c r="J139" s="21">
        <f t="shared" si="12"/>
        <v>0</v>
      </c>
      <c r="K139" s="182"/>
      <c r="L139" s="182"/>
      <c r="M139" s="182"/>
      <c r="N139" s="182"/>
      <c r="O139" s="182"/>
      <c r="P139" s="21">
        <f t="shared" si="13"/>
        <v>0</v>
      </c>
      <c r="Q139" s="182"/>
      <c r="R139" s="182"/>
      <c r="S139" s="182"/>
      <c r="T139" s="197"/>
      <c r="U139" s="182"/>
      <c r="V139" s="182"/>
      <c r="W139" s="22"/>
      <c r="X139" s="22">
        <f t="shared" si="2"/>
        <v>0</v>
      </c>
      <c r="Y139" s="25"/>
    </row>
    <row r="140" spans="1:25" ht="15.75">
      <c r="A140" s="498"/>
      <c r="B140" s="498"/>
      <c r="C140" s="498"/>
      <c r="D140" s="43">
        <v>132</v>
      </c>
      <c r="E140" s="43" t="s">
        <v>219</v>
      </c>
      <c r="F140" s="182"/>
      <c r="G140" s="182"/>
      <c r="H140" s="182"/>
      <c r="I140" s="182"/>
      <c r="J140" s="21">
        <f t="shared" si="12"/>
        <v>0</v>
      </c>
      <c r="K140" s="182"/>
      <c r="L140" s="182"/>
      <c r="M140" s="182"/>
      <c r="N140" s="182"/>
      <c r="O140" s="182"/>
      <c r="P140" s="21">
        <f t="shared" si="13"/>
        <v>0</v>
      </c>
      <c r="Q140" s="182"/>
      <c r="R140" s="182"/>
      <c r="S140" s="182"/>
      <c r="T140" s="182"/>
      <c r="U140" s="182"/>
      <c r="V140" s="182"/>
      <c r="W140" s="22"/>
      <c r="X140" s="22">
        <f t="shared" si="2"/>
        <v>0</v>
      </c>
      <c r="Y140" s="25"/>
    </row>
    <row r="141" spans="1:25" ht="15.75">
      <c r="A141" s="498"/>
      <c r="B141" s="498"/>
      <c r="C141" s="498"/>
      <c r="D141" s="43">
        <v>133</v>
      </c>
      <c r="E141" s="43" t="s">
        <v>220</v>
      </c>
      <c r="F141" s="182"/>
      <c r="G141" s="182"/>
      <c r="H141" s="182"/>
      <c r="I141" s="182"/>
      <c r="J141" s="21">
        <f t="shared" si="12"/>
        <v>0</v>
      </c>
      <c r="K141" s="182"/>
      <c r="L141" s="182"/>
      <c r="M141" s="182"/>
      <c r="N141" s="182"/>
      <c r="O141" s="182"/>
      <c r="P141" s="21">
        <f t="shared" si="13"/>
        <v>0</v>
      </c>
      <c r="Q141" s="182"/>
      <c r="R141" s="182"/>
      <c r="S141" s="182"/>
      <c r="T141" s="182"/>
      <c r="U141" s="182"/>
      <c r="V141" s="182"/>
      <c r="W141" s="22"/>
      <c r="X141" s="22">
        <f t="shared" si="2"/>
        <v>0</v>
      </c>
      <c r="Y141" s="25"/>
    </row>
    <row r="142" spans="1:25" ht="126">
      <c r="A142" s="498"/>
      <c r="B142" s="498"/>
      <c r="C142" s="498"/>
      <c r="D142" s="43">
        <v>134</v>
      </c>
      <c r="E142" s="43" t="s">
        <v>221</v>
      </c>
      <c r="F142" s="182"/>
      <c r="G142" s="182"/>
      <c r="H142" s="182"/>
      <c r="I142" s="182"/>
      <c r="J142" s="21">
        <f t="shared" si="12"/>
        <v>0</v>
      </c>
      <c r="K142" s="182"/>
      <c r="L142" s="182"/>
      <c r="M142" s="182"/>
      <c r="N142" s="182"/>
      <c r="O142" s="182"/>
      <c r="P142" s="21">
        <f t="shared" si="13"/>
        <v>0</v>
      </c>
      <c r="Q142" s="182"/>
      <c r="R142" s="182"/>
      <c r="S142" s="184"/>
      <c r="T142" s="184">
        <f>(2*0.025*12)</f>
        <v>0.60000000000000009</v>
      </c>
      <c r="U142" s="182"/>
      <c r="V142" s="182"/>
      <c r="W142" s="22"/>
      <c r="X142" s="22">
        <f t="shared" si="2"/>
        <v>0.60000000000000009</v>
      </c>
      <c r="Y142" s="362" t="s">
        <v>668</v>
      </c>
    </row>
    <row r="143" spans="1:25" ht="31.5">
      <c r="A143" s="498"/>
      <c r="B143" s="498"/>
      <c r="C143" s="498"/>
      <c r="D143" s="43">
        <v>135</v>
      </c>
      <c r="E143" s="43" t="s">
        <v>223</v>
      </c>
      <c r="F143" s="182"/>
      <c r="G143" s="182"/>
      <c r="H143" s="182"/>
      <c r="I143" s="182"/>
      <c r="J143" s="21">
        <f t="shared" si="12"/>
        <v>0</v>
      </c>
      <c r="K143" s="182"/>
      <c r="L143" s="182"/>
      <c r="M143" s="182"/>
      <c r="N143" s="182"/>
      <c r="O143" s="182"/>
      <c r="P143" s="21">
        <f t="shared" si="13"/>
        <v>0</v>
      </c>
      <c r="Q143" s="182"/>
      <c r="R143" s="182"/>
      <c r="S143" s="182"/>
      <c r="T143" s="182"/>
      <c r="U143" s="182"/>
      <c r="V143" s="182"/>
      <c r="W143" s="22"/>
      <c r="X143" s="22">
        <f t="shared" si="2"/>
        <v>0</v>
      </c>
      <c r="Y143" s="25"/>
    </row>
    <row r="144" spans="1:25" ht="47.25">
      <c r="A144" s="498"/>
      <c r="B144" s="496"/>
      <c r="C144" s="496"/>
      <c r="D144" s="43">
        <v>136</v>
      </c>
      <c r="E144" s="43" t="s">
        <v>224</v>
      </c>
      <c r="F144" s="182"/>
      <c r="G144" s="182"/>
      <c r="H144" s="182"/>
      <c r="I144" s="182"/>
      <c r="J144" s="21">
        <f t="shared" si="12"/>
        <v>0</v>
      </c>
      <c r="K144" s="182"/>
      <c r="L144" s="182"/>
      <c r="M144" s="182"/>
      <c r="N144" s="182"/>
      <c r="O144" s="182"/>
      <c r="P144" s="21">
        <f t="shared" si="13"/>
        <v>0</v>
      </c>
      <c r="Q144" s="182"/>
      <c r="R144" s="182"/>
      <c r="S144" s="184"/>
      <c r="T144" s="184"/>
      <c r="U144" s="182"/>
      <c r="V144" s="182"/>
      <c r="W144" s="22"/>
      <c r="X144" s="22">
        <f t="shared" si="2"/>
        <v>0</v>
      </c>
      <c r="Y144" s="25"/>
    </row>
    <row r="145" spans="1:25" ht="15.75">
      <c r="A145" s="498"/>
      <c r="B145" s="497" t="s">
        <v>225</v>
      </c>
      <c r="C145" s="497" t="s">
        <v>226</v>
      </c>
      <c r="D145" s="43">
        <v>137</v>
      </c>
      <c r="E145" s="43" t="s">
        <v>227</v>
      </c>
      <c r="F145" s="182"/>
      <c r="G145" s="182"/>
      <c r="H145" s="182"/>
      <c r="I145" s="182"/>
      <c r="J145" s="21">
        <f t="shared" si="12"/>
        <v>0</v>
      </c>
      <c r="K145" s="182"/>
      <c r="L145" s="182"/>
      <c r="M145" s="182"/>
      <c r="N145" s="182"/>
      <c r="O145" s="182"/>
      <c r="P145" s="21">
        <f t="shared" si="13"/>
        <v>0</v>
      </c>
      <c r="Q145" s="184"/>
      <c r="R145" s="184"/>
      <c r="S145" s="184"/>
      <c r="T145" s="184"/>
      <c r="U145" s="182"/>
      <c r="V145" s="182"/>
      <c r="W145" s="22"/>
      <c r="X145" s="22">
        <f t="shared" si="2"/>
        <v>0</v>
      </c>
      <c r="Y145" s="25"/>
    </row>
    <row r="146" spans="1:25" ht="31.5">
      <c r="A146" s="498"/>
      <c r="B146" s="496"/>
      <c r="C146" s="496"/>
      <c r="D146" s="43">
        <v>138</v>
      </c>
      <c r="E146" s="43" t="s">
        <v>228</v>
      </c>
      <c r="F146" s="182"/>
      <c r="G146" s="182"/>
      <c r="H146" s="182"/>
      <c r="I146" s="184"/>
      <c r="J146" s="22">
        <f t="shared" si="12"/>
        <v>0</v>
      </c>
      <c r="K146" s="184"/>
      <c r="L146" s="184"/>
      <c r="M146" s="182"/>
      <c r="N146" s="182"/>
      <c r="O146" s="184"/>
      <c r="P146" s="22">
        <f t="shared" si="13"/>
        <v>0</v>
      </c>
      <c r="Q146" s="184"/>
      <c r="R146" s="184"/>
      <c r="S146" s="182"/>
      <c r="T146" s="182"/>
      <c r="U146" s="182"/>
      <c r="V146" s="182"/>
      <c r="W146" s="22"/>
      <c r="X146" s="22">
        <f t="shared" si="2"/>
        <v>0</v>
      </c>
      <c r="Y146" s="25"/>
    </row>
    <row r="147" spans="1:25" ht="47.25">
      <c r="A147" s="498"/>
      <c r="B147" s="497" t="s">
        <v>229</v>
      </c>
      <c r="C147" s="497" t="s">
        <v>230</v>
      </c>
      <c r="D147" s="43">
        <v>139</v>
      </c>
      <c r="E147" s="43" t="s">
        <v>231</v>
      </c>
      <c r="F147" s="182"/>
      <c r="G147" s="182"/>
      <c r="H147" s="182"/>
      <c r="I147" s="182"/>
      <c r="J147" s="21">
        <f t="shared" si="12"/>
        <v>0</v>
      </c>
      <c r="K147" s="182"/>
      <c r="L147" s="182"/>
      <c r="M147" s="182"/>
      <c r="N147" s="182"/>
      <c r="O147" s="182"/>
      <c r="P147" s="21">
        <f t="shared" si="13"/>
        <v>0</v>
      </c>
      <c r="Q147" s="182"/>
      <c r="R147" s="182"/>
      <c r="S147" s="184"/>
      <c r="T147" s="184"/>
      <c r="U147" s="182"/>
      <c r="V147" s="182"/>
      <c r="W147" s="22"/>
      <c r="X147" s="22">
        <f t="shared" si="2"/>
        <v>0</v>
      </c>
      <c r="Y147" s="363"/>
    </row>
    <row r="148" spans="1:25" ht="15.75">
      <c r="A148" s="498"/>
      <c r="B148" s="498"/>
      <c r="C148" s="498"/>
      <c r="D148" s="43">
        <v>140</v>
      </c>
      <c r="E148" s="43" t="s">
        <v>232</v>
      </c>
      <c r="F148" s="182"/>
      <c r="G148" s="182"/>
      <c r="H148" s="182"/>
      <c r="I148" s="182"/>
      <c r="J148" s="21">
        <f t="shared" si="12"/>
        <v>0</v>
      </c>
      <c r="K148" s="182"/>
      <c r="L148" s="182"/>
      <c r="M148" s="182"/>
      <c r="N148" s="182"/>
      <c r="O148" s="182"/>
      <c r="P148" s="21">
        <f t="shared" si="13"/>
        <v>0</v>
      </c>
      <c r="Q148" s="182"/>
      <c r="R148" s="182"/>
      <c r="S148" s="184"/>
      <c r="T148" s="184">
        <v>0.27</v>
      </c>
      <c r="U148" s="182"/>
      <c r="V148" s="182"/>
      <c r="W148" s="22"/>
      <c r="X148" s="22">
        <f t="shared" si="2"/>
        <v>0.27</v>
      </c>
      <c r="Y148" s="129" t="s">
        <v>670</v>
      </c>
    </row>
    <row r="149" spans="1:25" ht="15.75" hidden="1">
      <c r="A149" s="498"/>
      <c r="B149" s="496"/>
      <c r="C149" s="496"/>
      <c r="D149" s="43">
        <v>141</v>
      </c>
      <c r="E149" s="43" t="s">
        <v>233</v>
      </c>
      <c r="F149" s="182"/>
      <c r="G149" s="182"/>
      <c r="H149" s="182"/>
      <c r="I149" s="182"/>
      <c r="J149" s="21">
        <f t="shared" si="12"/>
        <v>0</v>
      </c>
      <c r="K149" s="182"/>
      <c r="L149" s="182"/>
      <c r="M149" s="182"/>
      <c r="N149" s="182"/>
      <c r="O149" s="182"/>
      <c r="P149" s="21">
        <f t="shared" si="13"/>
        <v>0</v>
      </c>
      <c r="Q149" s="182"/>
      <c r="R149" s="182"/>
      <c r="S149" s="182"/>
      <c r="T149" s="182"/>
      <c r="U149" s="182"/>
      <c r="V149" s="182"/>
      <c r="W149" s="22"/>
      <c r="X149" s="22">
        <f t="shared" si="2"/>
        <v>0</v>
      </c>
      <c r="Y149" s="364"/>
    </row>
    <row r="150" spans="1:25" ht="63">
      <c r="A150" s="498"/>
      <c r="B150" s="497" t="s">
        <v>234</v>
      </c>
      <c r="C150" s="497" t="s">
        <v>235</v>
      </c>
      <c r="D150" s="43">
        <v>142</v>
      </c>
      <c r="E150" s="43" t="s">
        <v>236</v>
      </c>
      <c r="F150" s="182"/>
      <c r="G150" s="182"/>
      <c r="H150" s="182"/>
      <c r="I150" s="182"/>
      <c r="J150" s="21">
        <f t="shared" si="12"/>
        <v>0</v>
      </c>
      <c r="K150" s="182"/>
      <c r="L150" s="182"/>
      <c r="M150" s="182"/>
      <c r="N150" s="182"/>
      <c r="O150" s="182"/>
      <c r="P150" s="21">
        <f t="shared" si="13"/>
        <v>0</v>
      </c>
      <c r="Q150" s="182"/>
      <c r="R150" s="182"/>
      <c r="S150" s="204"/>
      <c r="T150" s="197">
        <v>368.16</v>
      </c>
      <c r="U150" s="182"/>
      <c r="V150" s="182"/>
      <c r="W150" s="22"/>
      <c r="X150" s="22">
        <f t="shared" si="2"/>
        <v>368.16</v>
      </c>
      <c r="Y150" s="25" t="s">
        <v>671</v>
      </c>
    </row>
    <row r="151" spans="1:25" ht="47.25">
      <c r="A151" s="498"/>
      <c r="B151" s="498"/>
      <c r="C151" s="498"/>
      <c r="D151" s="43">
        <v>143</v>
      </c>
      <c r="E151" s="43" t="s">
        <v>237</v>
      </c>
      <c r="F151" s="182"/>
      <c r="G151" s="182"/>
      <c r="H151" s="182"/>
      <c r="I151" s="182"/>
      <c r="J151" s="21">
        <f t="shared" si="12"/>
        <v>0</v>
      </c>
      <c r="K151" s="182"/>
      <c r="L151" s="182"/>
      <c r="M151" s="182"/>
      <c r="N151" s="182"/>
      <c r="O151" s="182"/>
      <c r="P151" s="21">
        <f t="shared" si="13"/>
        <v>0</v>
      </c>
      <c r="Q151" s="182"/>
      <c r="R151" s="182"/>
      <c r="S151" s="182"/>
      <c r="T151" s="182"/>
      <c r="U151" s="182"/>
      <c r="V151" s="182"/>
      <c r="W151" s="22"/>
      <c r="X151" s="22">
        <f t="shared" si="2"/>
        <v>0</v>
      </c>
      <c r="Y151" s="25"/>
    </row>
    <row r="152" spans="1:25" ht="15.75">
      <c r="A152" s="498"/>
      <c r="B152" s="498"/>
      <c r="C152" s="498"/>
      <c r="D152" s="43">
        <v>144</v>
      </c>
      <c r="E152" s="43" t="s">
        <v>238</v>
      </c>
      <c r="F152" s="182"/>
      <c r="G152" s="182"/>
      <c r="H152" s="182"/>
      <c r="I152" s="182"/>
      <c r="J152" s="21">
        <f t="shared" si="12"/>
        <v>0</v>
      </c>
      <c r="K152" s="182"/>
      <c r="L152" s="182"/>
      <c r="M152" s="182"/>
      <c r="N152" s="182"/>
      <c r="O152" s="182"/>
      <c r="P152" s="21">
        <f t="shared" si="13"/>
        <v>0</v>
      </c>
      <c r="Q152" s="182"/>
      <c r="R152" s="182"/>
      <c r="S152" s="182"/>
      <c r="T152" s="182"/>
      <c r="U152" s="182"/>
      <c r="V152" s="182"/>
      <c r="W152" s="22"/>
      <c r="X152" s="22">
        <f t="shared" si="2"/>
        <v>0</v>
      </c>
      <c r="Y152" s="25"/>
    </row>
    <row r="153" spans="1:25" ht="47.25">
      <c r="A153" s="498"/>
      <c r="B153" s="496"/>
      <c r="C153" s="496"/>
      <c r="D153" s="43">
        <v>145</v>
      </c>
      <c r="E153" s="43" t="s">
        <v>295</v>
      </c>
      <c r="F153" s="182"/>
      <c r="G153" s="182"/>
      <c r="H153" s="182"/>
      <c r="I153" s="182"/>
      <c r="J153" s="21">
        <f t="shared" si="12"/>
        <v>0</v>
      </c>
      <c r="K153" s="182"/>
      <c r="L153" s="182"/>
      <c r="M153" s="182"/>
      <c r="N153" s="182"/>
      <c r="O153" s="182"/>
      <c r="P153" s="21">
        <f t="shared" si="13"/>
        <v>0</v>
      </c>
      <c r="Q153" s="182"/>
      <c r="R153" s="182"/>
      <c r="S153" s="182"/>
      <c r="T153" s="182"/>
      <c r="U153" s="182"/>
      <c r="V153" s="182"/>
      <c r="W153" s="22"/>
      <c r="X153" s="22">
        <f t="shared" si="2"/>
        <v>0</v>
      </c>
      <c r="Y153" s="25"/>
    </row>
    <row r="154" spans="1:25" ht="141.75">
      <c r="A154" s="498"/>
      <c r="B154" s="43" t="s">
        <v>240</v>
      </c>
      <c r="C154" s="43" t="s">
        <v>241</v>
      </c>
      <c r="D154" s="43">
        <v>146</v>
      </c>
      <c r="E154" s="43" t="s">
        <v>242</v>
      </c>
      <c r="F154" s="182"/>
      <c r="G154" s="182"/>
      <c r="H154" s="182"/>
      <c r="I154" s="182"/>
      <c r="J154" s="21">
        <f t="shared" si="12"/>
        <v>0</v>
      </c>
      <c r="K154" s="182"/>
      <c r="L154" s="182"/>
      <c r="M154" s="182"/>
      <c r="N154" s="182"/>
      <c r="O154" s="182"/>
      <c r="P154" s="21">
        <f t="shared" si="13"/>
        <v>0</v>
      </c>
      <c r="Q154" s="182"/>
      <c r="R154" s="182"/>
      <c r="S154" s="182"/>
      <c r="T154" s="182">
        <v>6</v>
      </c>
      <c r="U154" s="182"/>
      <c r="V154" s="182"/>
      <c r="W154" s="22"/>
      <c r="X154" s="22">
        <f t="shared" si="2"/>
        <v>6</v>
      </c>
      <c r="Y154" s="365" t="s">
        <v>672</v>
      </c>
    </row>
    <row r="155" spans="1:25" ht="31.5">
      <c r="A155" s="498"/>
      <c r="B155" s="43" t="s">
        <v>243</v>
      </c>
      <c r="C155" s="43" t="s">
        <v>244</v>
      </c>
      <c r="D155" s="43">
        <v>147</v>
      </c>
      <c r="E155" s="43" t="s">
        <v>125</v>
      </c>
      <c r="F155" s="182"/>
      <c r="G155" s="182"/>
      <c r="H155" s="182"/>
      <c r="I155" s="182"/>
      <c r="J155" s="21">
        <f t="shared" si="12"/>
        <v>0</v>
      </c>
      <c r="K155" s="182"/>
      <c r="L155" s="182"/>
      <c r="M155" s="182"/>
      <c r="N155" s="182"/>
      <c r="O155" s="182"/>
      <c r="P155" s="21">
        <f t="shared" si="13"/>
        <v>0</v>
      </c>
      <c r="Q155" s="182"/>
      <c r="R155" s="182"/>
      <c r="S155" s="182"/>
      <c r="T155" s="182"/>
      <c r="U155" s="182"/>
      <c r="V155" s="182"/>
      <c r="W155" s="22"/>
      <c r="X155" s="22">
        <f t="shared" si="2"/>
        <v>0</v>
      </c>
      <c r="Y155" s="25"/>
    </row>
    <row r="156" spans="1:25" ht="63" hidden="1">
      <c r="A156" s="498"/>
      <c r="B156" s="43" t="s">
        <v>245</v>
      </c>
      <c r="C156" s="43" t="s">
        <v>246</v>
      </c>
      <c r="D156" s="43">
        <v>148</v>
      </c>
      <c r="E156" s="43" t="s">
        <v>247</v>
      </c>
      <c r="F156" s="182"/>
      <c r="G156" s="182"/>
      <c r="H156" s="182"/>
      <c r="I156" s="182"/>
      <c r="J156" s="21">
        <f t="shared" si="12"/>
        <v>0</v>
      </c>
      <c r="K156" s="182"/>
      <c r="L156" s="182"/>
      <c r="M156" s="182"/>
      <c r="N156" s="182"/>
      <c r="O156" s="182"/>
      <c r="P156" s="21">
        <f t="shared" si="13"/>
        <v>0</v>
      </c>
      <c r="Q156" s="182"/>
      <c r="R156" s="182"/>
      <c r="S156" s="184"/>
      <c r="T156" s="184"/>
      <c r="U156" s="182"/>
      <c r="V156" s="182"/>
      <c r="W156" s="22"/>
      <c r="X156" s="22">
        <f t="shared" si="2"/>
        <v>0</v>
      </c>
      <c r="Y156" s="25"/>
    </row>
    <row r="157" spans="1:25" ht="94.5">
      <c r="A157" s="498"/>
      <c r="B157" s="43" t="s">
        <v>248</v>
      </c>
      <c r="C157" s="43" t="s">
        <v>249</v>
      </c>
      <c r="D157" s="43">
        <v>149</v>
      </c>
      <c r="E157" s="43" t="s">
        <v>250</v>
      </c>
      <c r="F157" s="205"/>
      <c r="G157" s="205"/>
      <c r="H157" s="205"/>
      <c r="I157" s="205"/>
      <c r="J157" s="21">
        <f t="shared" si="12"/>
        <v>0</v>
      </c>
      <c r="K157" s="205"/>
      <c r="L157" s="205"/>
      <c r="M157" s="205"/>
      <c r="N157" s="205"/>
      <c r="O157" s="205"/>
      <c r="P157" s="21">
        <f t="shared" si="13"/>
        <v>0</v>
      </c>
      <c r="Q157" s="205"/>
      <c r="R157" s="205"/>
      <c r="S157" s="184"/>
      <c r="T157" s="184">
        <f>(0.03*32)</f>
        <v>0.96</v>
      </c>
      <c r="U157" s="205"/>
      <c r="V157" s="205"/>
      <c r="W157" s="22"/>
      <c r="X157" s="22">
        <f t="shared" si="2"/>
        <v>0.96</v>
      </c>
      <c r="Y157" s="25" t="s">
        <v>673</v>
      </c>
    </row>
    <row r="158" spans="1:25" ht="24" customHeight="1">
      <c r="A158" s="496"/>
      <c r="B158" s="500" t="s">
        <v>251</v>
      </c>
      <c r="C158" s="489"/>
      <c r="D158" s="490"/>
      <c r="E158" s="59"/>
      <c r="F158" s="74">
        <f t="shared" ref="F158:W158" si="14">SUM(F135:F157)</f>
        <v>0</v>
      </c>
      <c r="G158" s="74">
        <f t="shared" si="14"/>
        <v>0</v>
      </c>
      <c r="H158" s="74">
        <f t="shared" si="14"/>
        <v>0</v>
      </c>
      <c r="I158" s="74">
        <f t="shared" si="14"/>
        <v>0</v>
      </c>
      <c r="J158" s="74">
        <f t="shared" si="14"/>
        <v>0</v>
      </c>
      <c r="K158" s="74">
        <f t="shared" si="14"/>
        <v>0</v>
      </c>
      <c r="L158" s="74">
        <f t="shared" si="14"/>
        <v>0</v>
      </c>
      <c r="M158" s="74">
        <f t="shared" si="14"/>
        <v>0</v>
      </c>
      <c r="N158" s="74">
        <f t="shared" si="14"/>
        <v>0</v>
      </c>
      <c r="O158" s="74">
        <f t="shared" si="14"/>
        <v>0</v>
      </c>
      <c r="P158" s="74">
        <f t="shared" si="14"/>
        <v>0</v>
      </c>
      <c r="Q158" s="74">
        <f t="shared" si="14"/>
        <v>0</v>
      </c>
      <c r="R158" s="74">
        <f t="shared" si="14"/>
        <v>0</v>
      </c>
      <c r="S158" s="74">
        <f t="shared" si="14"/>
        <v>0</v>
      </c>
      <c r="T158" s="74">
        <f t="shared" si="14"/>
        <v>375.99</v>
      </c>
      <c r="U158" s="74">
        <f t="shared" si="14"/>
        <v>0</v>
      </c>
      <c r="V158" s="74">
        <f t="shared" si="14"/>
        <v>0</v>
      </c>
      <c r="W158" s="60">
        <f t="shared" si="14"/>
        <v>0</v>
      </c>
      <c r="X158" s="60">
        <f t="shared" si="2"/>
        <v>375.99</v>
      </c>
      <c r="Y158" s="236"/>
    </row>
    <row r="159" spans="1:25" ht="94.5">
      <c r="A159" s="499" t="s">
        <v>252</v>
      </c>
      <c r="B159" s="497" t="s">
        <v>253</v>
      </c>
      <c r="C159" s="497" t="s">
        <v>211</v>
      </c>
      <c r="D159" s="43">
        <v>150</v>
      </c>
      <c r="E159" s="43" t="s">
        <v>239</v>
      </c>
      <c r="F159" s="182"/>
      <c r="G159" s="183"/>
      <c r="H159" s="183">
        <v>190</v>
      </c>
      <c r="I159" s="183"/>
      <c r="J159" s="48">
        <f t="shared" ref="J159:J175" si="15">H159+I159</f>
        <v>190</v>
      </c>
      <c r="K159" s="182"/>
      <c r="L159" s="182"/>
      <c r="M159" s="182"/>
      <c r="N159" s="182"/>
      <c r="O159" s="182"/>
      <c r="P159" s="21">
        <f t="shared" ref="P159:P215" si="16">N159+O159</f>
        <v>0</v>
      </c>
      <c r="Q159" s="182"/>
      <c r="R159" s="182"/>
      <c r="S159" s="183"/>
      <c r="T159" s="183">
        <v>1</v>
      </c>
      <c r="U159" s="182"/>
      <c r="V159" s="182"/>
      <c r="W159" s="22"/>
      <c r="X159" s="22">
        <f t="shared" si="2"/>
        <v>191</v>
      </c>
      <c r="Y159" s="38" t="s">
        <v>1015</v>
      </c>
    </row>
    <row r="160" spans="1:25" ht="31.5">
      <c r="A160" s="498"/>
      <c r="B160" s="498"/>
      <c r="C160" s="498"/>
      <c r="D160" s="43">
        <v>151</v>
      </c>
      <c r="E160" s="43" t="s">
        <v>254</v>
      </c>
      <c r="F160" s="182"/>
      <c r="G160" s="183"/>
      <c r="H160" s="183"/>
      <c r="I160" s="183"/>
      <c r="J160" s="48">
        <f t="shared" si="15"/>
        <v>0</v>
      </c>
      <c r="K160" s="184"/>
      <c r="L160" s="184"/>
      <c r="M160" s="182"/>
      <c r="N160" s="182"/>
      <c r="O160" s="182"/>
      <c r="P160" s="21">
        <f t="shared" si="16"/>
        <v>0</v>
      </c>
      <c r="Q160" s="182"/>
      <c r="R160" s="182"/>
      <c r="S160" s="183"/>
      <c r="T160" s="183"/>
      <c r="U160" s="182"/>
      <c r="V160" s="182"/>
      <c r="W160" s="22"/>
      <c r="X160" s="22">
        <f t="shared" si="2"/>
        <v>0</v>
      </c>
      <c r="Y160" s="25"/>
    </row>
    <row r="161" spans="1:25" ht="86.25" customHeight="1">
      <c r="A161" s="498"/>
      <c r="B161" s="498"/>
      <c r="C161" s="498"/>
      <c r="D161" s="43">
        <v>152</v>
      </c>
      <c r="E161" s="43" t="s">
        <v>255</v>
      </c>
      <c r="F161" s="182"/>
      <c r="G161" s="182"/>
      <c r="H161" s="182"/>
      <c r="I161" s="182"/>
      <c r="J161" s="21">
        <f t="shared" si="15"/>
        <v>0</v>
      </c>
      <c r="K161" s="182"/>
      <c r="L161" s="182"/>
      <c r="M161" s="182"/>
      <c r="N161" s="182"/>
      <c r="O161" s="182"/>
      <c r="P161" s="21">
        <f t="shared" si="16"/>
        <v>0</v>
      </c>
      <c r="Q161" s="182"/>
      <c r="R161" s="182"/>
      <c r="S161" s="183"/>
      <c r="T161" s="25">
        <f>309 * 3600/100000</f>
        <v>11.124000000000001</v>
      </c>
      <c r="U161" s="182"/>
      <c r="V161" s="182"/>
      <c r="W161" s="22"/>
      <c r="X161" s="22">
        <f t="shared" si="2"/>
        <v>11.124000000000001</v>
      </c>
      <c r="Y161" s="98" t="s">
        <v>1016</v>
      </c>
    </row>
    <row r="162" spans="1:25" ht="15.75">
      <c r="A162" s="498"/>
      <c r="B162" s="496"/>
      <c r="C162" s="496"/>
      <c r="D162" s="43">
        <v>153</v>
      </c>
      <c r="E162" s="43" t="s">
        <v>256</v>
      </c>
      <c r="F162" s="205"/>
      <c r="G162" s="205"/>
      <c r="H162" s="205"/>
      <c r="I162" s="205"/>
      <c r="J162" s="21">
        <f t="shared" si="15"/>
        <v>0</v>
      </c>
      <c r="K162" s="205"/>
      <c r="L162" s="205"/>
      <c r="M162" s="205"/>
      <c r="N162" s="205"/>
      <c r="O162" s="205"/>
      <c r="P162" s="21">
        <f t="shared" si="16"/>
        <v>0</v>
      </c>
      <c r="Q162" s="205"/>
      <c r="R162" s="205"/>
      <c r="S162" s="205"/>
      <c r="T162" s="205"/>
      <c r="U162" s="205"/>
      <c r="V162" s="205"/>
      <c r="W162" s="22"/>
      <c r="X162" s="22">
        <f t="shared" si="2"/>
        <v>0</v>
      </c>
      <c r="Y162" s="25"/>
    </row>
    <row r="163" spans="1:25" ht="31.5">
      <c r="A163" s="498"/>
      <c r="B163" s="497" t="s">
        <v>257</v>
      </c>
      <c r="C163" s="497" t="s">
        <v>258</v>
      </c>
      <c r="D163" s="43">
        <v>154</v>
      </c>
      <c r="E163" s="43" t="s">
        <v>259</v>
      </c>
      <c r="F163" s="182"/>
      <c r="G163" s="182"/>
      <c r="H163" s="182"/>
      <c r="I163" s="182"/>
      <c r="J163" s="21">
        <f t="shared" si="15"/>
        <v>0</v>
      </c>
      <c r="K163" s="182"/>
      <c r="L163" s="182"/>
      <c r="M163" s="182"/>
      <c r="N163" s="182"/>
      <c r="O163" s="184"/>
      <c r="P163" s="22">
        <f t="shared" si="16"/>
        <v>0</v>
      </c>
      <c r="Q163" s="184"/>
      <c r="R163" s="184"/>
      <c r="S163" s="182"/>
      <c r="T163" s="182"/>
      <c r="U163" s="182"/>
      <c r="V163" s="182"/>
      <c r="W163" s="22"/>
      <c r="X163" s="22">
        <f t="shared" si="2"/>
        <v>0</v>
      </c>
      <c r="Y163" s="25"/>
    </row>
    <row r="164" spans="1:25" ht="31.5">
      <c r="A164" s="498"/>
      <c r="B164" s="498"/>
      <c r="C164" s="498"/>
      <c r="D164" s="43">
        <v>155</v>
      </c>
      <c r="E164" s="43" t="s">
        <v>260</v>
      </c>
      <c r="F164" s="182"/>
      <c r="G164" s="182"/>
      <c r="H164" s="182"/>
      <c r="I164" s="182"/>
      <c r="J164" s="21">
        <f t="shared" si="15"/>
        <v>0</v>
      </c>
      <c r="K164" s="182"/>
      <c r="L164" s="182"/>
      <c r="M164" s="182"/>
      <c r="N164" s="182"/>
      <c r="O164" s="182"/>
      <c r="P164" s="21">
        <f t="shared" si="16"/>
        <v>0</v>
      </c>
      <c r="Q164" s="182"/>
      <c r="R164" s="182"/>
      <c r="S164" s="183"/>
      <c r="T164" s="183"/>
      <c r="U164" s="182"/>
      <c r="V164" s="182"/>
      <c r="W164" s="22"/>
      <c r="X164" s="22">
        <f t="shared" si="2"/>
        <v>0</v>
      </c>
      <c r="Y164" s="25"/>
    </row>
    <row r="165" spans="1:25" ht="44.25" customHeight="1">
      <c r="A165" s="498"/>
      <c r="B165" s="498"/>
      <c r="C165" s="498"/>
      <c r="D165" s="43">
        <v>156</v>
      </c>
      <c r="E165" s="43" t="s">
        <v>261</v>
      </c>
      <c r="F165" s="182"/>
      <c r="G165" s="182"/>
      <c r="H165" s="182"/>
      <c r="I165" s="183"/>
      <c r="J165" s="48">
        <f t="shared" si="15"/>
        <v>0</v>
      </c>
      <c r="K165" s="184"/>
      <c r="L165" s="184"/>
      <c r="M165" s="182"/>
      <c r="N165" s="182"/>
      <c r="O165" s="182"/>
      <c r="P165" s="21">
        <f t="shared" si="16"/>
        <v>0</v>
      </c>
      <c r="Q165" s="182"/>
      <c r="R165" s="182"/>
      <c r="S165" s="183"/>
      <c r="T165" s="183">
        <v>1</v>
      </c>
      <c r="U165" s="47"/>
      <c r="V165" s="182"/>
      <c r="W165" s="22"/>
      <c r="X165" s="22">
        <f t="shared" si="2"/>
        <v>1</v>
      </c>
      <c r="Y165" s="25" t="s">
        <v>810</v>
      </c>
    </row>
    <row r="166" spans="1:25" ht="31.5">
      <c r="A166" s="498"/>
      <c r="B166" s="498"/>
      <c r="C166" s="498"/>
      <c r="D166" s="43">
        <v>157</v>
      </c>
      <c r="E166" s="43" t="s">
        <v>262</v>
      </c>
      <c r="F166" s="182"/>
      <c r="G166" s="182"/>
      <c r="H166" s="182"/>
      <c r="I166" s="182"/>
      <c r="J166" s="21">
        <f t="shared" si="15"/>
        <v>0</v>
      </c>
      <c r="K166" s="182"/>
      <c r="L166" s="182"/>
      <c r="M166" s="182"/>
      <c r="N166" s="182"/>
      <c r="O166" s="182"/>
      <c r="P166" s="21">
        <f t="shared" si="16"/>
        <v>0</v>
      </c>
      <c r="Q166" s="182"/>
      <c r="R166" s="182"/>
      <c r="S166" s="182"/>
      <c r="T166" s="182"/>
      <c r="U166" s="182"/>
      <c r="V166" s="182"/>
      <c r="W166" s="22"/>
      <c r="X166" s="22">
        <f t="shared" si="2"/>
        <v>0</v>
      </c>
      <c r="Y166" s="25"/>
    </row>
    <row r="167" spans="1:25" ht="31.5">
      <c r="A167" s="498"/>
      <c r="B167" s="496"/>
      <c r="C167" s="496"/>
      <c r="D167" s="43">
        <v>158</v>
      </c>
      <c r="E167" s="43" t="s">
        <v>263</v>
      </c>
      <c r="F167" s="182"/>
      <c r="G167" s="182"/>
      <c r="H167" s="182"/>
      <c r="I167" s="182"/>
      <c r="J167" s="21">
        <f t="shared" si="15"/>
        <v>0</v>
      </c>
      <c r="K167" s="182"/>
      <c r="L167" s="182"/>
      <c r="M167" s="182"/>
      <c r="N167" s="182"/>
      <c r="O167" s="182"/>
      <c r="P167" s="21">
        <f t="shared" si="16"/>
        <v>0</v>
      </c>
      <c r="Q167" s="182"/>
      <c r="R167" s="182"/>
      <c r="S167" s="182"/>
      <c r="T167" s="182"/>
      <c r="U167" s="182"/>
      <c r="V167" s="182"/>
      <c r="W167" s="22"/>
      <c r="X167" s="22">
        <f t="shared" si="2"/>
        <v>0</v>
      </c>
      <c r="Y167" s="25"/>
    </row>
    <row r="168" spans="1:25" ht="94.5">
      <c r="A168" s="498"/>
      <c r="B168" s="497" t="s">
        <v>264</v>
      </c>
      <c r="C168" s="497" t="s">
        <v>216</v>
      </c>
      <c r="D168" s="43">
        <v>159</v>
      </c>
      <c r="E168" s="43" t="s">
        <v>217</v>
      </c>
      <c r="F168" s="182"/>
      <c r="G168" s="182"/>
      <c r="H168" s="182"/>
      <c r="I168" s="182"/>
      <c r="J168" s="21">
        <f t="shared" si="15"/>
        <v>0</v>
      </c>
      <c r="K168" s="182"/>
      <c r="L168" s="182"/>
      <c r="M168" s="182"/>
      <c r="N168" s="182"/>
      <c r="O168" s="184"/>
      <c r="P168" s="22">
        <f t="shared" si="16"/>
        <v>0</v>
      </c>
      <c r="Q168" s="182"/>
      <c r="R168" s="182"/>
      <c r="S168" s="183"/>
      <c r="T168" s="110">
        <v>25.728000000000002</v>
      </c>
      <c r="U168" s="182"/>
      <c r="V168" s="182"/>
      <c r="W168" s="22"/>
      <c r="X168" s="22">
        <f t="shared" si="2"/>
        <v>25.728000000000002</v>
      </c>
      <c r="Y168" s="25" t="s">
        <v>998</v>
      </c>
    </row>
    <row r="169" spans="1:25" ht="15.75">
      <c r="A169" s="498"/>
      <c r="B169" s="498"/>
      <c r="C169" s="498"/>
      <c r="D169" s="43">
        <v>160</v>
      </c>
      <c r="E169" s="43" t="s">
        <v>265</v>
      </c>
      <c r="F169" s="182"/>
      <c r="G169" s="182"/>
      <c r="H169" s="182"/>
      <c r="I169" s="182"/>
      <c r="J169" s="21">
        <f t="shared" si="15"/>
        <v>0</v>
      </c>
      <c r="K169" s="182"/>
      <c r="L169" s="182"/>
      <c r="M169" s="182"/>
      <c r="N169" s="182"/>
      <c r="O169" s="182"/>
      <c r="P169" s="21">
        <f t="shared" si="16"/>
        <v>0</v>
      </c>
      <c r="Q169" s="182"/>
      <c r="R169" s="182"/>
      <c r="S169" s="182"/>
      <c r="T169" s="182"/>
      <c r="U169" s="182"/>
      <c r="V169" s="182"/>
      <c r="W169" s="22"/>
      <c r="X169" s="22">
        <f t="shared" si="2"/>
        <v>0</v>
      </c>
      <c r="Y169" s="192"/>
    </row>
    <row r="170" spans="1:25" ht="15.75">
      <c r="A170" s="498"/>
      <c r="B170" s="498"/>
      <c r="C170" s="498"/>
      <c r="D170" s="43">
        <v>161</v>
      </c>
      <c r="E170" s="43" t="s">
        <v>219</v>
      </c>
      <c r="F170" s="182"/>
      <c r="G170" s="182"/>
      <c r="H170" s="182"/>
      <c r="I170" s="182"/>
      <c r="J170" s="21">
        <f t="shared" si="15"/>
        <v>0</v>
      </c>
      <c r="K170" s="182"/>
      <c r="L170" s="182"/>
      <c r="M170" s="182"/>
      <c r="N170" s="182"/>
      <c r="O170" s="182"/>
      <c r="P170" s="21">
        <f t="shared" si="16"/>
        <v>0</v>
      </c>
      <c r="Q170" s="182"/>
      <c r="R170" s="182"/>
      <c r="S170" s="182"/>
      <c r="T170" s="182"/>
      <c r="U170" s="182"/>
      <c r="V170" s="182"/>
      <c r="W170" s="22"/>
      <c r="X170" s="22">
        <f t="shared" si="2"/>
        <v>0</v>
      </c>
      <c r="Y170" s="25"/>
    </row>
    <row r="171" spans="1:25" ht="15.75">
      <c r="A171" s="498"/>
      <c r="B171" s="498"/>
      <c r="C171" s="498"/>
      <c r="D171" s="43">
        <v>162</v>
      </c>
      <c r="E171" s="43" t="s">
        <v>220</v>
      </c>
      <c r="F171" s="182"/>
      <c r="G171" s="182"/>
      <c r="H171" s="182"/>
      <c r="I171" s="182"/>
      <c r="J171" s="21">
        <f t="shared" si="15"/>
        <v>0</v>
      </c>
      <c r="K171" s="182"/>
      <c r="L171" s="182"/>
      <c r="M171" s="182"/>
      <c r="N171" s="182"/>
      <c r="O171" s="182"/>
      <c r="P171" s="21">
        <f t="shared" si="16"/>
        <v>0</v>
      </c>
      <c r="Q171" s="182"/>
      <c r="R171" s="182"/>
      <c r="S171" s="182"/>
      <c r="T171" s="182"/>
      <c r="U171" s="182"/>
      <c r="V171" s="182"/>
      <c r="W171" s="22"/>
      <c r="X171" s="22">
        <f t="shared" si="2"/>
        <v>0</v>
      </c>
      <c r="Y171" s="25"/>
    </row>
    <row r="172" spans="1:25" ht="47.25">
      <c r="A172" s="498"/>
      <c r="B172" s="496"/>
      <c r="C172" s="496"/>
      <c r="D172" s="43">
        <v>163</v>
      </c>
      <c r="E172" s="43" t="s">
        <v>266</v>
      </c>
      <c r="F172" s="182"/>
      <c r="G172" s="182"/>
      <c r="H172" s="182"/>
      <c r="I172" s="182"/>
      <c r="J172" s="21">
        <f t="shared" si="15"/>
        <v>0</v>
      </c>
      <c r="K172" s="182"/>
      <c r="L172" s="182"/>
      <c r="M172" s="182"/>
      <c r="N172" s="182"/>
      <c r="O172" s="182"/>
      <c r="P172" s="21">
        <f t="shared" si="16"/>
        <v>0</v>
      </c>
      <c r="Q172" s="182"/>
      <c r="R172" s="182"/>
      <c r="S172" s="183"/>
      <c r="T172" s="183"/>
      <c r="U172" s="182"/>
      <c r="V172" s="182"/>
      <c r="W172" s="22"/>
      <c r="X172" s="22">
        <f t="shared" si="2"/>
        <v>0</v>
      </c>
      <c r="Y172" s="25"/>
    </row>
    <row r="173" spans="1:25" ht="15.75">
      <c r="A173" s="498"/>
      <c r="B173" s="497" t="s">
        <v>267</v>
      </c>
      <c r="C173" s="497" t="s">
        <v>268</v>
      </c>
      <c r="D173" s="43">
        <v>164</v>
      </c>
      <c r="E173" s="43" t="s">
        <v>269</v>
      </c>
      <c r="F173" s="182"/>
      <c r="G173" s="183"/>
      <c r="H173" s="183"/>
      <c r="I173" s="183"/>
      <c r="J173" s="48">
        <f t="shared" si="15"/>
        <v>0</v>
      </c>
      <c r="K173" s="182"/>
      <c r="L173" s="182"/>
      <c r="M173" s="182"/>
      <c r="N173" s="182"/>
      <c r="O173" s="182"/>
      <c r="P173" s="21">
        <f t="shared" si="16"/>
        <v>0</v>
      </c>
      <c r="Q173" s="182"/>
      <c r="R173" s="182"/>
      <c r="S173" s="182"/>
      <c r="T173" s="182"/>
      <c r="U173" s="182"/>
      <c r="V173" s="182"/>
      <c r="W173" s="22"/>
      <c r="X173" s="22">
        <f t="shared" si="2"/>
        <v>0</v>
      </c>
      <c r="Y173" s="25"/>
    </row>
    <row r="174" spans="1:25" ht="15.75">
      <c r="A174" s="498"/>
      <c r="B174" s="498"/>
      <c r="C174" s="498"/>
      <c r="D174" s="43">
        <v>165</v>
      </c>
      <c r="E174" s="43" t="s">
        <v>270</v>
      </c>
      <c r="F174" s="182"/>
      <c r="G174" s="183"/>
      <c r="H174" s="183"/>
      <c r="I174" s="183"/>
      <c r="J174" s="48">
        <f t="shared" si="15"/>
        <v>0</v>
      </c>
      <c r="K174" s="182"/>
      <c r="L174" s="182"/>
      <c r="M174" s="182"/>
      <c r="N174" s="182"/>
      <c r="O174" s="182"/>
      <c r="P174" s="21">
        <f t="shared" si="16"/>
        <v>0</v>
      </c>
      <c r="Q174" s="182"/>
      <c r="R174" s="182"/>
      <c r="S174" s="182"/>
      <c r="T174" s="182"/>
      <c r="U174" s="182"/>
      <c r="V174" s="182"/>
      <c r="W174" s="22"/>
      <c r="X174" s="22">
        <f t="shared" si="2"/>
        <v>0</v>
      </c>
      <c r="Y174" s="25"/>
    </row>
    <row r="175" spans="1:25" ht="31.5">
      <c r="A175" s="498"/>
      <c r="B175" s="498"/>
      <c r="C175" s="498"/>
      <c r="D175" s="43">
        <v>166</v>
      </c>
      <c r="E175" s="43" t="s">
        <v>271</v>
      </c>
      <c r="F175" s="182"/>
      <c r="G175" s="183"/>
      <c r="H175" s="183"/>
      <c r="I175" s="183"/>
      <c r="J175" s="48">
        <f t="shared" si="15"/>
        <v>0</v>
      </c>
      <c r="K175" s="182"/>
      <c r="L175" s="182"/>
      <c r="M175" s="182"/>
      <c r="N175" s="182"/>
      <c r="O175" s="182"/>
      <c r="P175" s="21">
        <f t="shared" si="16"/>
        <v>0</v>
      </c>
      <c r="Q175" s="182"/>
      <c r="R175" s="182"/>
      <c r="S175" s="182"/>
      <c r="T175" s="182"/>
      <c r="U175" s="182"/>
      <c r="V175" s="182"/>
      <c r="W175" s="22"/>
      <c r="X175" s="22">
        <f t="shared" si="2"/>
        <v>0</v>
      </c>
      <c r="Y175" s="25"/>
    </row>
    <row r="176" spans="1:25" ht="15.75">
      <c r="A176" s="498"/>
      <c r="B176" s="498"/>
      <c r="C176" s="498"/>
      <c r="D176" s="43">
        <v>167</v>
      </c>
      <c r="E176" s="43" t="s">
        <v>272</v>
      </c>
      <c r="F176" s="182"/>
      <c r="G176" s="183"/>
      <c r="H176" s="183"/>
      <c r="I176" s="183"/>
      <c r="J176" s="353"/>
      <c r="K176" s="182"/>
      <c r="L176" s="182"/>
      <c r="M176" s="182"/>
      <c r="N176" s="182"/>
      <c r="O176" s="182"/>
      <c r="P176" s="21">
        <f t="shared" si="16"/>
        <v>0</v>
      </c>
      <c r="Q176" s="182"/>
      <c r="R176" s="182"/>
      <c r="S176" s="182"/>
      <c r="T176" s="182"/>
      <c r="U176" s="182"/>
      <c r="V176" s="182"/>
      <c r="W176" s="22"/>
      <c r="X176" s="22">
        <f t="shared" si="2"/>
        <v>0</v>
      </c>
      <c r="Y176" s="25"/>
    </row>
    <row r="177" spans="1:25" ht="15.75">
      <c r="A177" s="498"/>
      <c r="B177" s="498"/>
      <c r="C177" s="498"/>
      <c r="D177" s="43">
        <v>168</v>
      </c>
      <c r="E177" s="43" t="s">
        <v>273</v>
      </c>
      <c r="F177" s="182"/>
      <c r="G177" s="183"/>
      <c r="H177" s="183"/>
      <c r="I177" s="183"/>
      <c r="J177" s="43"/>
      <c r="K177" s="182"/>
      <c r="L177" s="182"/>
      <c r="M177" s="182"/>
      <c r="N177" s="182"/>
      <c r="O177" s="182"/>
      <c r="P177" s="21">
        <f t="shared" si="16"/>
        <v>0</v>
      </c>
      <c r="Q177" s="182"/>
      <c r="R177" s="182"/>
      <c r="S177" s="182"/>
      <c r="T177" s="182"/>
      <c r="U177" s="182"/>
      <c r="V177" s="182"/>
      <c r="W177" s="22"/>
      <c r="X177" s="22">
        <f t="shared" si="2"/>
        <v>0</v>
      </c>
      <c r="Y177" s="25"/>
    </row>
    <row r="178" spans="1:25" ht="47.25">
      <c r="A178" s="498"/>
      <c r="B178" s="498"/>
      <c r="C178" s="498"/>
      <c r="D178" s="43">
        <v>169</v>
      </c>
      <c r="E178" s="43" t="s">
        <v>274</v>
      </c>
      <c r="F178" s="182"/>
      <c r="G178" s="183"/>
      <c r="H178" s="183"/>
      <c r="I178" s="183"/>
      <c r="J178" s="48">
        <f t="shared" ref="J178:J215" si="17">H178+I178</f>
        <v>0</v>
      </c>
      <c r="K178" s="184"/>
      <c r="L178" s="184"/>
      <c r="M178" s="182"/>
      <c r="N178" s="182"/>
      <c r="O178" s="182"/>
      <c r="P178" s="21">
        <f t="shared" si="16"/>
        <v>0</v>
      </c>
      <c r="Q178" s="182"/>
      <c r="R178" s="182"/>
      <c r="S178" s="182"/>
      <c r="T178" s="182"/>
      <c r="U178" s="182"/>
      <c r="V178" s="182"/>
      <c r="W178" s="22"/>
      <c r="X178" s="22">
        <f t="shared" si="2"/>
        <v>0</v>
      </c>
      <c r="Y178" s="25"/>
    </row>
    <row r="179" spans="1:25" ht="63">
      <c r="A179" s="498"/>
      <c r="B179" s="496"/>
      <c r="C179" s="496"/>
      <c r="D179" s="43">
        <v>170</v>
      </c>
      <c r="E179" s="43" t="s">
        <v>275</v>
      </c>
      <c r="F179" s="182"/>
      <c r="G179" s="182"/>
      <c r="H179" s="182"/>
      <c r="I179" s="182"/>
      <c r="J179" s="21">
        <f t="shared" si="17"/>
        <v>0</v>
      </c>
      <c r="K179" s="182"/>
      <c r="L179" s="182"/>
      <c r="M179" s="182"/>
      <c r="N179" s="182"/>
      <c r="O179" s="182"/>
      <c r="P179" s="21">
        <f t="shared" si="16"/>
        <v>0</v>
      </c>
      <c r="Q179" s="182"/>
      <c r="R179" s="182"/>
      <c r="S179" s="182"/>
      <c r="T179" s="182"/>
      <c r="U179" s="182"/>
      <c r="V179" s="182"/>
      <c r="W179" s="22"/>
      <c r="X179" s="22">
        <f t="shared" si="2"/>
        <v>0</v>
      </c>
      <c r="Y179" s="25"/>
    </row>
    <row r="180" spans="1:25" ht="31.5">
      <c r="A180" s="498"/>
      <c r="B180" s="497" t="s">
        <v>276</v>
      </c>
      <c r="C180" s="497" t="s">
        <v>277</v>
      </c>
      <c r="D180" s="43">
        <v>171</v>
      </c>
      <c r="E180" s="43" t="s">
        <v>278</v>
      </c>
      <c r="F180" s="182"/>
      <c r="G180" s="182"/>
      <c r="H180" s="182"/>
      <c r="I180" s="182"/>
      <c r="J180" s="21">
        <f t="shared" si="17"/>
        <v>0</v>
      </c>
      <c r="K180" s="182"/>
      <c r="L180" s="182"/>
      <c r="M180" s="182"/>
      <c r="N180" s="182"/>
      <c r="O180" s="182"/>
      <c r="P180" s="21">
        <f t="shared" si="16"/>
        <v>0</v>
      </c>
      <c r="Q180" s="182"/>
      <c r="R180" s="182"/>
      <c r="S180" s="182"/>
      <c r="T180" s="182"/>
      <c r="U180" s="182"/>
      <c r="V180" s="182"/>
      <c r="W180" s="22"/>
      <c r="X180" s="22">
        <f t="shared" si="2"/>
        <v>0</v>
      </c>
      <c r="Y180" s="25"/>
    </row>
    <row r="181" spans="1:25" ht="31.5">
      <c r="A181" s="498"/>
      <c r="B181" s="498"/>
      <c r="C181" s="498"/>
      <c r="D181" s="43">
        <v>172</v>
      </c>
      <c r="E181" s="43" t="s">
        <v>279</v>
      </c>
      <c r="F181" s="182"/>
      <c r="G181" s="182"/>
      <c r="H181" s="182"/>
      <c r="I181" s="182"/>
      <c r="J181" s="21">
        <f t="shared" si="17"/>
        <v>0</v>
      </c>
      <c r="K181" s="182"/>
      <c r="L181" s="182"/>
      <c r="M181" s="182"/>
      <c r="N181" s="182"/>
      <c r="O181" s="182"/>
      <c r="P181" s="21">
        <f t="shared" si="16"/>
        <v>0</v>
      </c>
      <c r="Q181" s="182"/>
      <c r="R181" s="182"/>
      <c r="S181" s="184"/>
      <c r="T181" s="184"/>
      <c r="U181" s="182"/>
      <c r="V181" s="182"/>
      <c r="W181" s="22"/>
      <c r="X181" s="22">
        <f t="shared" si="2"/>
        <v>0</v>
      </c>
      <c r="Y181" s="25"/>
    </row>
    <row r="182" spans="1:25" ht="31.5">
      <c r="A182" s="498"/>
      <c r="B182" s="498"/>
      <c r="C182" s="498"/>
      <c r="D182" s="43">
        <v>173</v>
      </c>
      <c r="E182" s="43" t="s">
        <v>280</v>
      </c>
      <c r="F182" s="182"/>
      <c r="G182" s="182"/>
      <c r="H182" s="182"/>
      <c r="I182" s="182"/>
      <c r="J182" s="21">
        <f t="shared" si="17"/>
        <v>0</v>
      </c>
      <c r="K182" s="182"/>
      <c r="L182" s="182"/>
      <c r="M182" s="182"/>
      <c r="N182" s="182"/>
      <c r="O182" s="182"/>
      <c r="P182" s="21">
        <f t="shared" si="16"/>
        <v>0</v>
      </c>
      <c r="Q182" s="182"/>
      <c r="R182" s="182"/>
      <c r="S182" s="182"/>
      <c r="T182" s="182"/>
      <c r="U182" s="182"/>
      <c r="V182" s="182"/>
      <c r="W182" s="22"/>
      <c r="X182" s="22">
        <f t="shared" si="2"/>
        <v>0</v>
      </c>
      <c r="Y182" s="25"/>
    </row>
    <row r="183" spans="1:25" ht="15.75">
      <c r="A183" s="498"/>
      <c r="B183" s="496"/>
      <c r="C183" s="496"/>
      <c r="D183" s="43">
        <v>174</v>
      </c>
      <c r="E183" s="43" t="s">
        <v>281</v>
      </c>
      <c r="F183" s="182"/>
      <c r="G183" s="182"/>
      <c r="H183" s="182"/>
      <c r="I183" s="182"/>
      <c r="J183" s="21">
        <f t="shared" si="17"/>
        <v>0</v>
      </c>
      <c r="K183" s="182"/>
      <c r="L183" s="182"/>
      <c r="M183" s="182"/>
      <c r="N183" s="182"/>
      <c r="O183" s="182"/>
      <c r="P183" s="21">
        <f t="shared" si="16"/>
        <v>0</v>
      </c>
      <c r="Q183" s="182"/>
      <c r="R183" s="182"/>
      <c r="S183" s="184"/>
      <c r="T183" s="184"/>
      <c r="U183" s="182"/>
      <c r="V183" s="182"/>
      <c r="W183" s="22"/>
      <c r="X183" s="22">
        <f t="shared" si="2"/>
        <v>0</v>
      </c>
      <c r="Y183" s="25"/>
    </row>
    <row r="184" spans="1:25" ht="204.75">
      <c r="A184" s="498"/>
      <c r="B184" s="497" t="s">
        <v>282</v>
      </c>
      <c r="C184" s="497" t="s">
        <v>230</v>
      </c>
      <c r="D184" s="43">
        <v>175</v>
      </c>
      <c r="E184" s="43" t="s">
        <v>231</v>
      </c>
      <c r="F184" s="186"/>
      <c r="G184" s="186"/>
      <c r="H184" s="186"/>
      <c r="I184" s="186"/>
      <c r="J184" s="21">
        <f t="shared" si="17"/>
        <v>0</v>
      </c>
      <c r="K184" s="185"/>
      <c r="L184" s="185"/>
      <c r="M184" s="186"/>
      <c r="N184" s="186"/>
      <c r="O184" s="186"/>
      <c r="P184" s="21">
        <f t="shared" si="16"/>
        <v>0</v>
      </c>
      <c r="Q184" s="186"/>
      <c r="R184" s="186"/>
      <c r="S184" s="185"/>
      <c r="T184" s="185">
        <v>40.82</v>
      </c>
      <c r="U184" s="185"/>
      <c r="V184" s="185"/>
      <c r="W184" s="22"/>
      <c r="X184" s="22">
        <f t="shared" si="2"/>
        <v>40.82</v>
      </c>
      <c r="Y184" s="25" t="s">
        <v>687</v>
      </c>
    </row>
    <row r="185" spans="1:25" ht="409.5">
      <c r="A185" s="498"/>
      <c r="B185" s="498"/>
      <c r="C185" s="498"/>
      <c r="D185" s="43">
        <v>176</v>
      </c>
      <c r="E185" s="43" t="s">
        <v>232</v>
      </c>
      <c r="F185" s="182"/>
      <c r="G185" s="182"/>
      <c r="H185" s="182"/>
      <c r="I185" s="182"/>
      <c r="J185" s="21">
        <f t="shared" si="17"/>
        <v>0</v>
      </c>
      <c r="K185" s="182"/>
      <c r="L185" s="182"/>
      <c r="M185" s="182"/>
      <c r="N185" s="182"/>
      <c r="O185" s="182"/>
      <c r="P185" s="21">
        <f t="shared" si="16"/>
        <v>0</v>
      </c>
      <c r="Q185" s="183"/>
      <c r="R185" s="183">
        <v>6</v>
      </c>
      <c r="S185" s="183"/>
      <c r="T185" s="183">
        <v>11.23</v>
      </c>
      <c r="U185" s="182"/>
      <c r="V185" s="182"/>
      <c r="W185" s="22"/>
      <c r="X185" s="22">
        <f t="shared" si="2"/>
        <v>17.23</v>
      </c>
      <c r="Y185" s="25" t="s">
        <v>688</v>
      </c>
    </row>
    <row r="186" spans="1:25" ht="29.25" hidden="1" customHeight="1">
      <c r="A186" s="498"/>
      <c r="B186" s="496"/>
      <c r="C186" s="496"/>
      <c r="D186" s="43">
        <v>177</v>
      </c>
      <c r="E186" s="43" t="s">
        <v>233</v>
      </c>
      <c r="F186" s="182"/>
      <c r="G186" s="182"/>
      <c r="H186" s="182"/>
      <c r="I186" s="182"/>
      <c r="J186" s="21">
        <f t="shared" si="17"/>
        <v>0</v>
      </c>
      <c r="K186" s="182"/>
      <c r="L186" s="182"/>
      <c r="M186" s="182"/>
      <c r="N186" s="182"/>
      <c r="O186" s="182"/>
      <c r="P186" s="21">
        <f t="shared" si="16"/>
        <v>0</v>
      </c>
      <c r="Q186" s="182"/>
      <c r="R186" s="182"/>
      <c r="S186" s="182"/>
      <c r="T186" s="182"/>
      <c r="U186" s="182"/>
      <c r="V186" s="182"/>
      <c r="W186" s="22"/>
      <c r="X186" s="22">
        <f t="shared" si="2"/>
        <v>0</v>
      </c>
      <c r="Y186" s="25"/>
    </row>
    <row r="187" spans="1:25" ht="47.25">
      <c r="A187" s="498"/>
      <c r="B187" s="497" t="s">
        <v>283</v>
      </c>
      <c r="C187" s="497" t="s">
        <v>284</v>
      </c>
      <c r="D187" s="43">
        <v>178</v>
      </c>
      <c r="E187" s="43" t="s">
        <v>285</v>
      </c>
      <c r="F187" s="182"/>
      <c r="G187" s="182"/>
      <c r="H187" s="182"/>
      <c r="I187" s="182"/>
      <c r="J187" s="21">
        <f t="shared" si="17"/>
        <v>0</v>
      </c>
      <c r="K187" s="182"/>
      <c r="L187" s="182"/>
      <c r="M187" s="182"/>
      <c r="N187" s="182"/>
      <c r="O187" s="182"/>
      <c r="P187" s="21">
        <f t="shared" si="16"/>
        <v>0</v>
      </c>
      <c r="Q187" s="182"/>
      <c r="R187" s="182"/>
      <c r="S187" s="182"/>
      <c r="T187" s="182"/>
      <c r="U187" s="182"/>
      <c r="V187" s="182"/>
      <c r="W187" s="22"/>
      <c r="X187" s="22">
        <f t="shared" si="2"/>
        <v>0</v>
      </c>
      <c r="Y187" s="25"/>
    </row>
    <row r="188" spans="1:25" ht="15.75">
      <c r="A188" s="498"/>
      <c r="B188" s="498"/>
      <c r="C188" s="498"/>
      <c r="D188" s="43">
        <v>179</v>
      </c>
      <c r="E188" s="43" t="s">
        <v>125</v>
      </c>
      <c r="F188" s="182"/>
      <c r="G188" s="182"/>
      <c r="H188" s="182"/>
      <c r="I188" s="182"/>
      <c r="J188" s="21">
        <f t="shared" si="17"/>
        <v>0</v>
      </c>
      <c r="K188" s="182"/>
      <c r="L188" s="182"/>
      <c r="M188" s="182"/>
      <c r="N188" s="182"/>
      <c r="O188" s="182"/>
      <c r="P188" s="21">
        <f t="shared" si="16"/>
        <v>0</v>
      </c>
      <c r="Q188" s="182"/>
      <c r="R188" s="182"/>
      <c r="S188" s="182"/>
      <c r="T188" s="182"/>
      <c r="U188" s="182"/>
      <c r="V188" s="182"/>
      <c r="W188" s="22"/>
      <c r="X188" s="22">
        <f t="shared" si="2"/>
        <v>0</v>
      </c>
      <c r="Y188" s="192"/>
    </row>
    <row r="189" spans="1:25" ht="31.5">
      <c r="A189" s="498"/>
      <c r="B189" s="498"/>
      <c r="C189" s="498"/>
      <c r="D189" s="43">
        <v>180</v>
      </c>
      <c r="E189" s="43" t="s">
        <v>286</v>
      </c>
      <c r="F189" s="182"/>
      <c r="G189" s="182"/>
      <c r="H189" s="182"/>
      <c r="I189" s="182"/>
      <c r="J189" s="21">
        <f t="shared" si="17"/>
        <v>0</v>
      </c>
      <c r="K189" s="182"/>
      <c r="L189" s="182"/>
      <c r="M189" s="182"/>
      <c r="N189" s="182"/>
      <c r="O189" s="184"/>
      <c r="P189" s="22">
        <f t="shared" si="16"/>
        <v>0</v>
      </c>
      <c r="Q189" s="182"/>
      <c r="R189" s="182"/>
      <c r="S189" s="183"/>
      <c r="T189" s="183"/>
      <c r="U189" s="182"/>
      <c r="V189" s="182"/>
      <c r="W189" s="22"/>
      <c r="X189" s="22">
        <f t="shared" si="2"/>
        <v>0</v>
      </c>
      <c r="Y189" s="192"/>
    </row>
    <row r="190" spans="1:25" ht="31.5">
      <c r="A190" s="498"/>
      <c r="B190" s="498"/>
      <c r="C190" s="498"/>
      <c r="D190" s="43">
        <v>181</v>
      </c>
      <c r="E190" s="43" t="s">
        <v>287</v>
      </c>
      <c r="F190" s="182"/>
      <c r="G190" s="182"/>
      <c r="H190" s="182"/>
      <c r="I190" s="182"/>
      <c r="J190" s="21">
        <f t="shared" si="17"/>
        <v>0</v>
      </c>
      <c r="K190" s="182"/>
      <c r="L190" s="182"/>
      <c r="M190" s="182"/>
      <c r="N190" s="182"/>
      <c r="O190" s="182"/>
      <c r="P190" s="21">
        <f t="shared" si="16"/>
        <v>0</v>
      </c>
      <c r="Q190" s="182"/>
      <c r="R190" s="182"/>
      <c r="S190" s="182"/>
      <c r="T190" s="182"/>
      <c r="U190" s="182"/>
      <c r="V190" s="182"/>
      <c r="W190" s="22"/>
      <c r="X190" s="22">
        <f t="shared" si="2"/>
        <v>0</v>
      </c>
      <c r="Y190" s="192"/>
    </row>
    <row r="191" spans="1:25" ht="95.25" customHeight="1">
      <c r="A191" s="498"/>
      <c r="B191" s="498"/>
      <c r="C191" s="498"/>
      <c r="D191" s="43">
        <v>182</v>
      </c>
      <c r="E191" s="43" t="s">
        <v>288</v>
      </c>
      <c r="F191" s="182"/>
      <c r="G191" s="182"/>
      <c r="H191" s="182"/>
      <c r="I191" s="182"/>
      <c r="J191" s="21">
        <f t="shared" si="17"/>
        <v>0</v>
      </c>
      <c r="K191" s="182"/>
      <c r="L191" s="182"/>
      <c r="M191" s="182"/>
      <c r="N191" s="182"/>
      <c r="O191" s="182"/>
      <c r="P191" s="21">
        <f t="shared" si="16"/>
        <v>0</v>
      </c>
      <c r="Q191" s="182"/>
      <c r="R191" s="182"/>
      <c r="S191" s="184"/>
      <c r="T191" s="167">
        <f>(0.6*6*3)</f>
        <v>10.799999999999999</v>
      </c>
      <c r="U191" s="182"/>
      <c r="V191" s="182"/>
      <c r="W191" s="22"/>
      <c r="X191" s="22">
        <f t="shared" si="2"/>
        <v>10.799999999999999</v>
      </c>
      <c r="Y191" s="141" t="s">
        <v>710</v>
      </c>
    </row>
    <row r="192" spans="1:25" ht="63" hidden="1">
      <c r="A192" s="498"/>
      <c r="B192" s="496"/>
      <c r="C192" s="496"/>
      <c r="D192" s="43">
        <v>183</v>
      </c>
      <c r="E192" s="43" t="s">
        <v>289</v>
      </c>
      <c r="F192" s="182"/>
      <c r="G192" s="182"/>
      <c r="H192" s="182"/>
      <c r="I192" s="182"/>
      <c r="J192" s="21">
        <f t="shared" si="17"/>
        <v>0</v>
      </c>
      <c r="K192" s="182"/>
      <c r="L192" s="182"/>
      <c r="M192" s="182"/>
      <c r="N192" s="182"/>
      <c r="O192" s="182"/>
      <c r="P192" s="21">
        <f t="shared" si="16"/>
        <v>0</v>
      </c>
      <c r="Q192" s="182"/>
      <c r="R192" s="182"/>
      <c r="S192" s="183"/>
      <c r="T192" s="183"/>
      <c r="U192" s="182"/>
      <c r="V192" s="182"/>
      <c r="W192" s="22"/>
      <c r="X192" s="22">
        <f t="shared" si="2"/>
        <v>0</v>
      </c>
      <c r="Y192" s="192"/>
    </row>
    <row r="193" spans="1:25" ht="47.25">
      <c r="A193" s="498"/>
      <c r="B193" s="43" t="s">
        <v>290</v>
      </c>
      <c r="C193" s="43" t="s">
        <v>291</v>
      </c>
      <c r="D193" s="43">
        <v>184</v>
      </c>
      <c r="E193" s="43" t="s">
        <v>292</v>
      </c>
      <c r="F193" s="182"/>
      <c r="G193" s="182"/>
      <c r="H193" s="182"/>
      <c r="I193" s="182"/>
      <c r="J193" s="21">
        <f t="shared" si="17"/>
        <v>0</v>
      </c>
      <c r="K193" s="182"/>
      <c r="L193" s="182"/>
      <c r="M193" s="182"/>
      <c r="N193" s="182"/>
      <c r="O193" s="182"/>
      <c r="P193" s="21">
        <f t="shared" si="16"/>
        <v>0</v>
      </c>
      <c r="Q193" s="182"/>
      <c r="R193" s="182"/>
      <c r="S193" s="184"/>
      <c r="T193" s="184"/>
      <c r="U193" s="182"/>
      <c r="V193" s="182"/>
      <c r="W193" s="22"/>
      <c r="X193" s="22">
        <f t="shared" si="2"/>
        <v>0</v>
      </c>
      <c r="Y193" s="192"/>
    </row>
    <row r="194" spans="1:25" ht="56.25" customHeight="1">
      <c r="A194" s="498"/>
      <c r="B194" s="497" t="s">
        <v>293</v>
      </c>
      <c r="C194" s="497" t="s">
        <v>235</v>
      </c>
      <c r="D194" s="43">
        <v>185</v>
      </c>
      <c r="E194" s="43" t="s">
        <v>236</v>
      </c>
      <c r="F194" s="182"/>
      <c r="G194" s="182"/>
      <c r="H194" s="182"/>
      <c r="I194" s="182"/>
      <c r="J194" s="21">
        <f t="shared" si="17"/>
        <v>0</v>
      </c>
      <c r="K194" s="182"/>
      <c r="L194" s="182"/>
      <c r="M194" s="182"/>
      <c r="N194" s="182"/>
      <c r="O194" s="182"/>
      <c r="P194" s="21">
        <f t="shared" si="16"/>
        <v>0</v>
      </c>
      <c r="Q194" s="182"/>
      <c r="R194" s="182"/>
      <c r="S194" s="182"/>
      <c r="T194" s="188">
        <v>2130.2774880000002</v>
      </c>
      <c r="U194" s="182"/>
      <c r="V194" s="182"/>
      <c r="W194" s="22"/>
      <c r="X194" s="22">
        <f t="shared" si="2"/>
        <v>2130.2774880000002</v>
      </c>
      <c r="Y194" s="25" t="s">
        <v>992</v>
      </c>
    </row>
    <row r="195" spans="1:25" ht="393.75">
      <c r="A195" s="498"/>
      <c r="B195" s="498"/>
      <c r="C195" s="498"/>
      <c r="D195" s="43">
        <v>186</v>
      </c>
      <c r="E195" s="43" t="s">
        <v>237</v>
      </c>
      <c r="F195" s="182">
        <v>1.0500000000000001E-2</v>
      </c>
      <c r="G195" s="182"/>
      <c r="H195" s="182"/>
      <c r="I195" s="182"/>
      <c r="J195" s="21">
        <f t="shared" si="17"/>
        <v>0</v>
      </c>
      <c r="K195" s="182"/>
      <c r="L195" s="182"/>
      <c r="M195" s="182"/>
      <c r="N195" s="182"/>
      <c r="O195" s="182"/>
      <c r="P195" s="21">
        <f t="shared" si="16"/>
        <v>0</v>
      </c>
      <c r="Q195" s="182"/>
      <c r="R195" s="182"/>
      <c r="S195" s="183"/>
      <c r="T195" s="183">
        <f>7.4+77.624</f>
        <v>85.024000000000001</v>
      </c>
      <c r="U195" s="182"/>
      <c r="V195" s="182"/>
      <c r="W195" s="22"/>
      <c r="X195" s="22">
        <f t="shared" si="2"/>
        <v>85.034499999999994</v>
      </c>
      <c r="Y195" s="25" t="s">
        <v>1226</v>
      </c>
    </row>
    <row r="196" spans="1:25" ht="31.5">
      <c r="A196" s="498"/>
      <c r="B196" s="498"/>
      <c r="C196" s="498"/>
      <c r="D196" s="43">
        <v>187</v>
      </c>
      <c r="E196" s="43" t="s">
        <v>294</v>
      </c>
      <c r="F196" s="182"/>
      <c r="G196" s="182"/>
      <c r="H196" s="182"/>
      <c r="I196" s="182"/>
      <c r="J196" s="21">
        <f t="shared" si="17"/>
        <v>0</v>
      </c>
      <c r="K196" s="182"/>
      <c r="L196" s="182"/>
      <c r="M196" s="182"/>
      <c r="N196" s="182"/>
      <c r="O196" s="182"/>
      <c r="P196" s="21">
        <f t="shared" si="16"/>
        <v>0</v>
      </c>
      <c r="Q196" s="182"/>
      <c r="R196" s="182"/>
      <c r="S196" s="182"/>
      <c r="T196" s="188">
        <v>837.08100000000002</v>
      </c>
      <c r="U196" s="182"/>
      <c r="V196" s="182"/>
      <c r="W196" s="22"/>
      <c r="X196" s="22">
        <f t="shared" si="2"/>
        <v>837.08100000000002</v>
      </c>
      <c r="Y196" s="25" t="s">
        <v>993</v>
      </c>
    </row>
    <row r="197" spans="1:25" ht="15.75">
      <c r="A197" s="498"/>
      <c r="B197" s="498"/>
      <c r="C197" s="498"/>
      <c r="D197" s="43">
        <v>188</v>
      </c>
      <c r="E197" s="43" t="s">
        <v>238</v>
      </c>
      <c r="F197" s="182"/>
      <c r="G197" s="182"/>
      <c r="H197" s="182"/>
      <c r="I197" s="182"/>
      <c r="J197" s="21">
        <f t="shared" si="17"/>
        <v>0</v>
      </c>
      <c r="K197" s="182"/>
      <c r="L197" s="182"/>
      <c r="M197" s="182"/>
      <c r="N197" s="182"/>
      <c r="O197" s="182"/>
      <c r="P197" s="21">
        <f t="shared" si="16"/>
        <v>0</v>
      </c>
      <c r="Q197" s="182"/>
      <c r="R197" s="182"/>
      <c r="S197" s="182"/>
      <c r="T197" s="182"/>
      <c r="U197" s="182"/>
      <c r="V197" s="182"/>
      <c r="W197" s="22"/>
      <c r="X197" s="22">
        <f t="shared" si="2"/>
        <v>0</v>
      </c>
      <c r="Y197" s="25"/>
    </row>
    <row r="198" spans="1:25" ht="47.25">
      <c r="A198" s="498"/>
      <c r="B198" s="498"/>
      <c r="C198" s="498"/>
      <c r="D198" s="43">
        <v>189</v>
      </c>
      <c r="E198" s="43" t="s">
        <v>295</v>
      </c>
      <c r="F198" s="182"/>
      <c r="G198" s="182"/>
      <c r="H198" s="182"/>
      <c r="I198" s="182"/>
      <c r="J198" s="21">
        <f t="shared" si="17"/>
        <v>0</v>
      </c>
      <c r="K198" s="182"/>
      <c r="L198" s="182"/>
      <c r="M198" s="182"/>
      <c r="N198" s="182"/>
      <c r="O198" s="182"/>
      <c r="P198" s="21">
        <f t="shared" si="16"/>
        <v>0</v>
      </c>
      <c r="Q198" s="182"/>
      <c r="R198" s="182"/>
      <c r="S198" s="182"/>
      <c r="T198" s="182"/>
      <c r="U198" s="182"/>
      <c r="V198" s="182"/>
      <c r="W198" s="22"/>
      <c r="X198" s="22">
        <f t="shared" si="2"/>
        <v>0</v>
      </c>
      <c r="Y198" s="25"/>
    </row>
    <row r="199" spans="1:25" ht="47.25" hidden="1">
      <c r="A199" s="498"/>
      <c r="B199" s="496"/>
      <c r="C199" s="496"/>
      <c r="D199" s="43">
        <v>190</v>
      </c>
      <c r="E199" s="43" t="s">
        <v>296</v>
      </c>
      <c r="F199" s="182"/>
      <c r="G199" s="182"/>
      <c r="H199" s="182"/>
      <c r="I199" s="182"/>
      <c r="J199" s="21">
        <f t="shared" si="17"/>
        <v>0</v>
      </c>
      <c r="K199" s="182"/>
      <c r="L199" s="182"/>
      <c r="M199" s="182"/>
      <c r="N199" s="182"/>
      <c r="O199" s="182"/>
      <c r="P199" s="21">
        <f t="shared" si="16"/>
        <v>0</v>
      </c>
      <c r="Q199" s="182"/>
      <c r="R199" s="182"/>
      <c r="S199" s="183"/>
      <c r="T199" s="183"/>
      <c r="U199" s="182"/>
      <c r="V199" s="182"/>
      <c r="W199" s="22"/>
      <c r="X199" s="22">
        <f t="shared" si="2"/>
        <v>0</v>
      </c>
      <c r="Y199" s="25"/>
    </row>
    <row r="200" spans="1:25" ht="31.5">
      <c r="A200" s="498"/>
      <c r="B200" s="497" t="s">
        <v>297</v>
      </c>
      <c r="C200" s="497" t="s">
        <v>298</v>
      </c>
      <c r="D200" s="43">
        <v>191</v>
      </c>
      <c r="E200" s="43" t="s">
        <v>299</v>
      </c>
      <c r="F200" s="182"/>
      <c r="G200" s="182"/>
      <c r="H200" s="182"/>
      <c r="I200" s="182"/>
      <c r="J200" s="21">
        <f t="shared" si="17"/>
        <v>0</v>
      </c>
      <c r="K200" s="182"/>
      <c r="L200" s="182"/>
      <c r="M200" s="182"/>
      <c r="N200" s="182"/>
      <c r="O200" s="182"/>
      <c r="P200" s="21">
        <f t="shared" si="16"/>
        <v>0</v>
      </c>
      <c r="Q200" s="182"/>
      <c r="R200" s="182"/>
      <c r="S200" s="182"/>
      <c r="T200" s="182"/>
      <c r="U200" s="182"/>
      <c r="V200" s="182"/>
      <c r="W200" s="22"/>
      <c r="X200" s="22">
        <f t="shared" si="2"/>
        <v>0</v>
      </c>
      <c r="Y200" s="25"/>
    </row>
    <row r="201" spans="1:25" ht="31.5">
      <c r="A201" s="498"/>
      <c r="B201" s="496"/>
      <c r="C201" s="496"/>
      <c r="D201" s="43">
        <v>192</v>
      </c>
      <c r="E201" s="43" t="s">
        <v>300</v>
      </c>
      <c r="F201" s="182"/>
      <c r="G201" s="182"/>
      <c r="H201" s="182"/>
      <c r="I201" s="183"/>
      <c r="J201" s="48">
        <f t="shared" si="17"/>
        <v>0</v>
      </c>
      <c r="K201" s="182"/>
      <c r="L201" s="182"/>
      <c r="M201" s="182"/>
      <c r="N201" s="182"/>
      <c r="O201" s="182"/>
      <c r="P201" s="21">
        <f t="shared" si="16"/>
        <v>0</v>
      </c>
      <c r="Q201" s="182"/>
      <c r="R201" s="182"/>
      <c r="S201" s="184"/>
      <c r="T201" s="184"/>
      <c r="U201" s="182"/>
      <c r="V201" s="182"/>
      <c r="W201" s="22"/>
      <c r="X201" s="22">
        <f t="shared" si="2"/>
        <v>0</v>
      </c>
      <c r="Y201" s="25"/>
    </row>
    <row r="202" spans="1:25" ht="31.5">
      <c r="A202" s="498"/>
      <c r="B202" s="497" t="s">
        <v>301</v>
      </c>
      <c r="C202" s="497" t="s">
        <v>241</v>
      </c>
      <c r="D202" s="43">
        <v>193</v>
      </c>
      <c r="E202" s="43" t="s">
        <v>302</v>
      </c>
      <c r="F202" s="182"/>
      <c r="G202" s="182"/>
      <c r="H202" s="182"/>
      <c r="I202" s="182"/>
      <c r="J202" s="21">
        <f t="shared" si="17"/>
        <v>0</v>
      </c>
      <c r="K202" s="182"/>
      <c r="L202" s="182"/>
      <c r="M202" s="182"/>
      <c r="N202" s="182"/>
      <c r="O202" s="182"/>
      <c r="P202" s="21">
        <f t="shared" si="16"/>
        <v>0</v>
      </c>
      <c r="Q202" s="182"/>
      <c r="R202" s="182"/>
      <c r="S202" s="184"/>
      <c r="T202" s="184"/>
      <c r="U202" s="183"/>
      <c r="V202" s="183"/>
      <c r="W202" s="22"/>
      <c r="X202" s="22">
        <f t="shared" si="2"/>
        <v>0</v>
      </c>
      <c r="Y202" s="25"/>
    </row>
    <row r="203" spans="1:25" ht="31.5">
      <c r="A203" s="498"/>
      <c r="B203" s="496"/>
      <c r="C203" s="496"/>
      <c r="D203" s="43">
        <v>194</v>
      </c>
      <c r="E203" s="43" t="s">
        <v>242</v>
      </c>
      <c r="F203" s="182"/>
      <c r="G203" s="182"/>
      <c r="H203" s="182"/>
      <c r="I203" s="182"/>
      <c r="J203" s="21">
        <f t="shared" si="17"/>
        <v>0</v>
      </c>
      <c r="K203" s="182"/>
      <c r="L203" s="182"/>
      <c r="M203" s="182"/>
      <c r="N203" s="182"/>
      <c r="O203" s="182"/>
      <c r="P203" s="21">
        <f t="shared" si="16"/>
        <v>0</v>
      </c>
      <c r="Q203" s="182"/>
      <c r="R203" s="182"/>
      <c r="S203" s="182"/>
      <c r="T203" s="182">
        <v>89.57</v>
      </c>
      <c r="U203" s="182"/>
      <c r="V203" s="182"/>
      <c r="W203" s="22"/>
      <c r="X203" s="22">
        <f t="shared" si="2"/>
        <v>89.57</v>
      </c>
      <c r="Y203" s="98" t="s">
        <v>1221</v>
      </c>
    </row>
    <row r="204" spans="1:25" ht="47.25">
      <c r="A204" s="498"/>
      <c r="B204" s="497" t="s">
        <v>303</v>
      </c>
      <c r="C204" s="497" t="s">
        <v>304</v>
      </c>
      <c r="D204" s="43">
        <v>195</v>
      </c>
      <c r="E204" s="43" t="s">
        <v>305</v>
      </c>
      <c r="F204" s="182"/>
      <c r="G204" s="182"/>
      <c r="H204" s="182"/>
      <c r="I204" s="182"/>
      <c r="J204" s="21">
        <f t="shared" si="17"/>
        <v>0</v>
      </c>
      <c r="K204" s="182"/>
      <c r="L204" s="182"/>
      <c r="M204" s="182"/>
      <c r="N204" s="182"/>
      <c r="O204" s="182"/>
      <c r="P204" s="21">
        <f t="shared" si="16"/>
        <v>0</v>
      </c>
      <c r="Q204" s="182"/>
      <c r="R204" s="182"/>
      <c r="S204" s="184"/>
      <c r="T204" s="184"/>
      <c r="U204" s="182"/>
      <c r="V204" s="182"/>
      <c r="W204" s="22"/>
      <c r="X204" s="22">
        <f t="shared" si="2"/>
        <v>0</v>
      </c>
      <c r="Y204" s="25"/>
    </row>
    <row r="205" spans="1:25" ht="31.5">
      <c r="A205" s="498"/>
      <c r="B205" s="498"/>
      <c r="C205" s="498"/>
      <c r="D205" s="43">
        <v>196</v>
      </c>
      <c r="E205" s="43" t="s">
        <v>306</v>
      </c>
      <c r="F205" s="182"/>
      <c r="G205" s="182"/>
      <c r="H205" s="182"/>
      <c r="I205" s="182"/>
      <c r="J205" s="21">
        <f t="shared" si="17"/>
        <v>0</v>
      </c>
      <c r="K205" s="182"/>
      <c r="L205" s="182"/>
      <c r="M205" s="182"/>
      <c r="N205" s="182"/>
      <c r="O205" s="182"/>
      <c r="P205" s="21">
        <f t="shared" si="16"/>
        <v>0</v>
      </c>
      <c r="Q205" s="182"/>
      <c r="R205" s="182"/>
      <c r="S205" s="182"/>
      <c r="T205" s="182"/>
      <c r="U205" s="182"/>
      <c r="V205" s="182"/>
      <c r="W205" s="22"/>
      <c r="X205" s="22">
        <f t="shared" si="2"/>
        <v>0</v>
      </c>
      <c r="Y205" s="25"/>
    </row>
    <row r="206" spans="1:25" ht="15.75">
      <c r="A206" s="498"/>
      <c r="B206" s="496"/>
      <c r="C206" s="496"/>
      <c r="D206" s="43">
        <v>197</v>
      </c>
      <c r="E206" s="43" t="s">
        <v>307</v>
      </c>
      <c r="F206" s="61"/>
      <c r="G206" s="61"/>
      <c r="H206" s="61"/>
      <c r="I206" s="61"/>
      <c r="J206" s="21">
        <f t="shared" si="17"/>
        <v>0</v>
      </c>
      <c r="K206" s="61"/>
      <c r="L206" s="61"/>
      <c r="M206" s="61"/>
      <c r="N206" s="61"/>
      <c r="O206" s="61"/>
      <c r="P206" s="21">
        <f t="shared" si="16"/>
        <v>0</v>
      </c>
      <c r="Q206" s="61"/>
      <c r="R206" s="61"/>
      <c r="S206" s="216"/>
      <c r="T206" s="216"/>
      <c r="U206" s="192"/>
      <c r="V206" s="192"/>
      <c r="W206" s="217"/>
      <c r="X206" s="22">
        <f t="shared" si="2"/>
        <v>0</v>
      </c>
      <c r="Y206" s="25"/>
    </row>
    <row r="207" spans="1:25" ht="63">
      <c r="A207" s="498"/>
      <c r="B207" s="43" t="s">
        <v>308</v>
      </c>
      <c r="C207" s="43" t="s">
        <v>246</v>
      </c>
      <c r="D207" s="43">
        <v>198</v>
      </c>
      <c r="E207" s="43" t="s">
        <v>247</v>
      </c>
      <c r="F207" s="182"/>
      <c r="G207" s="182"/>
      <c r="H207" s="182"/>
      <c r="I207" s="182"/>
      <c r="J207" s="21">
        <f t="shared" si="17"/>
        <v>0</v>
      </c>
      <c r="K207" s="182"/>
      <c r="L207" s="182"/>
      <c r="M207" s="182"/>
      <c r="N207" s="182"/>
      <c r="O207" s="182"/>
      <c r="P207" s="21">
        <f t="shared" si="16"/>
        <v>0</v>
      </c>
      <c r="Q207" s="182"/>
      <c r="R207" s="182"/>
      <c r="S207" s="182"/>
      <c r="T207" s="182"/>
      <c r="U207" s="182"/>
      <c r="V207" s="182"/>
      <c r="W207" s="22"/>
      <c r="X207" s="22">
        <f t="shared" si="2"/>
        <v>0</v>
      </c>
      <c r="Y207" s="25"/>
    </row>
    <row r="208" spans="1:25" ht="31.5">
      <c r="A208" s="498"/>
      <c r="B208" s="43" t="s">
        <v>309</v>
      </c>
      <c r="C208" s="43" t="s">
        <v>249</v>
      </c>
      <c r="D208" s="43">
        <v>199</v>
      </c>
      <c r="E208" s="43" t="s">
        <v>250</v>
      </c>
      <c r="F208" s="205"/>
      <c r="G208" s="205"/>
      <c r="H208" s="205"/>
      <c r="I208" s="205"/>
      <c r="J208" s="21">
        <f t="shared" si="17"/>
        <v>0</v>
      </c>
      <c r="K208" s="205"/>
      <c r="L208" s="205"/>
      <c r="M208" s="205"/>
      <c r="N208" s="205"/>
      <c r="O208" s="205"/>
      <c r="P208" s="21">
        <f t="shared" si="16"/>
        <v>0</v>
      </c>
      <c r="Q208" s="205"/>
      <c r="R208" s="205"/>
      <c r="S208" s="205"/>
      <c r="T208" s="205">
        <v>54.35</v>
      </c>
      <c r="U208" s="205"/>
      <c r="V208" s="205"/>
      <c r="W208" s="22"/>
      <c r="X208" s="22">
        <f t="shared" si="2"/>
        <v>54.35</v>
      </c>
      <c r="Y208" s="25" t="s">
        <v>983</v>
      </c>
    </row>
    <row r="209" spans="1:25" ht="31.5">
      <c r="A209" s="498"/>
      <c r="B209" s="43" t="s">
        <v>310</v>
      </c>
      <c r="C209" s="218" t="s">
        <v>311</v>
      </c>
      <c r="D209" s="43">
        <v>200</v>
      </c>
      <c r="E209" s="43" t="s">
        <v>312</v>
      </c>
      <c r="F209" s="23"/>
      <c r="G209" s="23"/>
      <c r="H209" s="23"/>
      <c r="I209" s="23"/>
      <c r="J209" s="21">
        <f t="shared" si="17"/>
        <v>0</v>
      </c>
      <c r="K209" s="23"/>
      <c r="L209" s="23"/>
      <c r="M209" s="23"/>
      <c r="N209" s="23"/>
      <c r="O209" s="23"/>
      <c r="P209" s="21">
        <f t="shared" si="16"/>
        <v>0</v>
      </c>
      <c r="Q209" s="23"/>
      <c r="R209" s="23"/>
      <c r="S209" s="23"/>
      <c r="T209" s="23"/>
      <c r="U209" s="23"/>
      <c r="V209" s="23"/>
      <c r="W209" s="22"/>
      <c r="X209" s="22">
        <f t="shared" si="2"/>
        <v>0</v>
      </c>
      <c r="Y209" s="25"/>
    </row>
    <row r="210" spans="1:25" ht="63">
      <c r="A210" s="498"/>
      <c r="B210" s="219" t="s">
        <v>313</v>
      </c>
      <c r="C210" s="219" t="s">
        <v>314</v>
      </c>
      <c r="D210" s="220">
        <v>201</v>
      </c>
      <c r="E210" s="72" t="s">
        <v>315</v>
      </c>
      <c r="F210" s="23"/>
      <c r="G210" s="23"/>
      <c r="H210" s="23"/>
      <c r="I210" s="23"/>
      <c r="J210" s="21">
        <f t="shared" si="17"/>
        <v>0</v>
      </c>
      <c r="K210" s="23"/>
      <c r="L210" s="23"/>
      <c r="M210" s="23"/>
      <c r="N210" s="23"/>
      <c r="O210" s="23"/>
      <c r="P210" s="21">
        <f t="shared" si="16"/>
        <v>0</v>
      </c>
      <c r="Q210" s="23"/>
      <c r="R210" s="23"/>
      <c r="S210" s="23"/>
      <c r="T210" s="23">
        <v>34.914200000000001</v>
      </c>
      <c r="U210" s="23"/>
      <c r="V210" s="23"/>
      <c r="W210" s="22"/>
      <c r="X210" s="22">
        <f t="shared" si="2"/>
        <v>34.914200000000001</v>
      </c>
      <c r="Y210" s="25" t="s">
        <v>1162</v>
      </c>
    </row>
    <row r="211" spans="1:25" ht="47.25">
      <c r="A211" s="498"/>
      <c r="B211" s="219" t="s">
        <v>316</v>
      </c>
      <c r="C211" s="219" t="s">
        <v>317</v>
      </c>
      <c r="D211" s="220">
        <v>202</v>
      </c>
      <c r="E211" s="72" t="s">
        <v>318</v>
      </c>
      <c r="F211" s="23"/>
      <c r="G211" s="23"/>
      <c r="H211" s="23"/>
      <c r="I211" s="23"/>
      <c r="J211" s="21">
        <f t="shared" si="17"/>
        <v>0</v>
      </c>
      <c r="K211" s="23"/>
      <c r="L211" s="23"/>
      <c r="M211" s="23"/>
      <c r="N211" s="23"/>
      <c r="O211" s="23"/>
      <c r="P211" s="21">
        <f t="shared" si="16"/>
        <v>0</v>
      </c>
      <c r="Q211" s="23"/>
      <c r="R211" s="23"/>
      <c r="S211" s="23"/>
      <c r="T211" s="23">
        <v>531.96159999999998</v>
      </c>
      <c r="U211" s="23"/>
      <c r="V211" s="23"/>
      <c r="W211" s="22"/>
      <c r="X211" s="22">
        <f t="shared" si="2"/>
        <v>531.96159999999998</v>
      </c>
      <c r="Y211" s="25" t="s">
        <v>559</v>
      </c>
    </row>
    <row r="212" spans="1:25" ht="78.75">
      <c r="A212" s="498"/>
      <c r="B212" s="219" t="s">
        <v>319</v>
      </c>
      <c r="C212" s="219" t="s">
        <v>320</v>
      </c>
      <c r="D212" s="220">
        <v>203</v>
      </c>
      <c r="E212" s="72" t="s">
        <v>321</v>
      </c>
      <c r="F212" s="23"/>
      <c r="G212" s="23"/>
      <c r="H212" s="23"/>
      <c r="I212" s="23"/>
      <c r="J212" s="21">
        <f t="shared" si="17"/>
        <v>0</v>
      </c>
      <c r="K212" s="23"/>
      <c r="L212" s="23"/>
      <c r="M212" s="23"/>
      <c r="N212" s="23"/>
      <c r="O212" s="23"/>
      <c r="P212" s="21">
        <f t="shared" si="16"/>
        <v>0</v>
      </c>
      <c r="Q212" s="23"/>
      <c r="R212" s="23"/>
      <c r="S212" s="23"/>
      <c r="T212" s="354"/>
      <c r="U212" s="23"/>
      <c r="V212" s="23"/>
      <c r="W212" s="22"/>
      <c r="X212" s="22">
        <f t="shared" si="2"/>
        <v>0</v>
      </c>
      <c r="Y212" s="25"/>
    </row>
    <row r="213" spans="1:25" ht="47.25">
      <c r="A213" s="498"/>
      <c r="B213" s="219" t="s">
        <v>322</v>
      </c>
      <c r="C213" s="219" t="s">
        <v>323</v>
      </c>
      <c r="D213" s="220">
        <v>204</v>
      </c>
      <c r="E213" s="72" t="s">
        <v>324</v>
      </c>
      <c r="F213" s="23"/>
      <c r="G213" s="23"/>
      <c r="H213" s="23"/>
      <c r="I213" s="23"/>
      <c r="J213" s="21">
        <f t="shared" si="17"/>
        <v>0</v>
      </c>
      <c r="K213" s="23"/>
      <c r="L213" s="23"/>
      <c r="M213" s="23"/>
      <c r="N213" s="23"/>
      <c r="O213" s="23"/>
      <c r="P213" s="21">
        <f t="shared" si="16"/>
        <v>0</v>
      </c>
      <c r="Q213" s="23"/>
      <c r="R213" s="23"/>
      <c r="S213" s="23"/>
      <c r="T213" s="239">
        <v>19.840399999999999</v>
      </c>
      <c r="U213" s="23"/>
      <c r="V213" s="23"/>
      <c r="W213" s="22"/>
      <c r="X213" s="26">
        <f t="shared" si="2"/>
        <v>19.840399999999999</v>
      </c>
      <c r="Y213" s="25" t="s">
        <v>676</v>
      </c>
    </row>
    <row r="214" spans="1:25" ht="47.25">
      <c r="A214" s="498"/>
      <c r="B214" s="219" t="s">
        <v>326</v>
      </c>
      <c r="C214" s="219" t="s">
        <v>291</v>
      </c>
      <c r="D214" s="220">
        <v>205</v>
      </c>
      <c r="E214" s="72" t="s">
        <v>327</v>
      </c>
      <c r="F214" s="23"/>
      <c r="G214" s="23"/>
      <c r="H214" s="23"/>
      <c r="I214" s="23"/>
      <c r="J214" s="21">
        <f t="shared" si="17"/>
        <v>0</v>
      </c>
      <c r="K214" s="23"/>
      <c r="L214" s="23">
        <v>0</v>
      </c>
      <c r="M214" s="23"/>
      <c r="N214" s="23"/>
      <c r="O214" s="23"/>
      <c r="P214" s="21">
        <f t="shared" si="16"/>
        <v>0</v>
      </c>
      <c r="Q214" s="23"/>
      <c r="R214" s="23"/>
      <c r="S214" s="23"/>
      <c r="T214" s="23"/>
      <c r="U214" s="23"/>
      <c r="V214" s="23"/>
      <c r="W214" s="22"/>
      <c r="X214" s="22">
        <f t="shared" si="2"/>
        <v>0</v>
      </c>
      <c r="Y214" s="25"/>
    </row>
    <row r="215" spans="1:25" ht="31.5">
      <c r="A215" s="498"/>
      <c r="B215" s="219" t="s">
        <v>329</v>
      </c>
      <c r="C215" s="219" t="s">
        <v>246</v>
      </c>
      <c r="D215" s="220">
        <v>206</v>
      </c>
      <c r="E215" s="72" t="s">
        <v>330</v>
      </c>
      <c r="F215" s="23"/>
      <c r="G215" s="23"/>
      <c r="H215" s="23"/>
      <c r="I215" s="23"/>
      <c r="J215" s="21">
        <f t="shared" si="17"/>
        <v>0</v>
      </c>
      <c r="K215" s="23"/>
      <c r="L215" s="23"/>
      <c r="M215" s="23"/>
      <c r="N215" s="23"/>
      <c r="O215" s="23"/>
      <c r="P215" s="21">
        <f t="shared" si="16"/>
        <v>0</v>
      </c>
      <c r="Q215" s="23"/>
      <c r="R215" s="23"/>
      <c r="S215" s="23"/>
      <c r="T215" s="23"/>
      <c r="U215" s="23"/>
      <c r="V215" s="23"/>
      <c r="W215" s="22"/>
      <c r="X215" s="22">
        <f t="shared" si="2"/>
        <v>0</v>
      </c>
      <c r="Y215" s="25"/>
    </row>
    <row r="216" spans="1:25" ht="15.75">
      <c r="A216" s="496"/>
      <c r="B216" s="500" t="s">
        <v>331</v>
      </c>
      <c r="C216" s="489"/>
      <c r="D216" s="490"/>
      <c r="E216" s="59"/>
      <c r="F216" s="87">
        <f t="shared" ref="F216:W216" si="18">SUM(F159:F215)</f>
        <v>1.0500000000000001E-2</v>
      </c>
      <c r="G216" s="221">
        <f t="shared" si="18"/>
        <v>0</v>
      </c>
      <c r="H216" s="221">
        <f t="shared" si="18"/>
        <v>190</v>
      </c>
      <c r="I216" s="221">
        <f t="shared" si="18"/>
        <v>0</v>
      </c>
      <c r="J216" s="221">
        <f t="shared" si="18"/>
        <v>190</v>
      </c>
      <c r="K216" s="87">
        <f t="shared" si="18"/>
        <v>0</v>
      </c>
      <c r="L216" s="87">
        <f t="shared" si="18"/>
        <v>0</v>
      </c>
      <c r="M216" s="87">
        <f t="shared" si="18"/>
        <v>0</v>
      </c>
      <c r="N216" s="87">
        <f t="shared" si="18"/>
        <v>0</v>
      </c>
      <c r="O216" s="87">
        <f t="shared" si="18"/>
        <v>0</v>
      </c>
      <c r="P216" s="87">
        <f t="shared" si="18"/>
        <v>0</v>
      </c>
      <c r="Q216" s="87">
        <f t="shared" si="18"/>
        <v>0</v>
      </c>
      <c r="R216" s="87">
        <f t="shared" si="18"/>
        <v>6</v>
      </c>
      <c r="S216" s="221">
        <f t="shared" si="18"/>
        <v>0</v>
      </c>
      <c r="T216" s="221">
        <f t="shared" si="18"/>
        <v>3884.7206880000003</v>
      </c>
      <c r="U216" s="87">
        <f t="shared" si="18"/>
        <v>0</v>
      </c>
      <c r="V216" s="87">
        <f t="shared" si="18"/>
        <v>0</v>
      </c>
      <c r="W216" s="222">
        <f t="shared" si="18"/>
        <v>0</v>
      </c>
      <c r="X216" s="222">
        <f t="shared" si="2"/>
        <v>4080.7311880000002</v>
      </c>
      <c r="Y216" s="236"/>
    </row>
    <row r="217" spans="1:25" ht="20.25" customHeight="1">
      <c r="A217" s="502" t="s">
        <v>332</v>
      </c>
      <c r="B217" s="489"/>
      <c r="C217" s="489"/>
      <c r="D217" s="490"/>
      <c r="E217" s="88"/>
      <c r="F217" s="89">
        <f t="shared" ref="F217:W217" si="19">F216+F158+F134+F93+F68</f>
        <v>83.77685000000001</v>
      </c>
      <c r="G217" s="90">
        <f t="shared" si="19"/>
        <v>0</v>
      </c>
      <c r="H217" s="90">
        <f t="shared" si="19"/>
        <v>190</v>
      </c>
      <c r="I217" s="90">
        <f t="shared" si="19"/>
        <v>6.65</v>
      </c>
      <c r="J217" s="90">
        <f t="shared" si="19"/>
        <v>196.65</v>
      </c>
      <c r="K217" s="89">
        <f t="shared" si="19"/>
        <v>0</v>
      </c>
      <c r="L217" s="89">
        <f t="shared" si="19"/>
        <v>21.971499999999999</v>
      </c>
      <c r="M217" s="89">
        <f t="shared" si="19"/>
        <v>0</v>
      </c>
      <c r="N217" s="89">
        <f t="shared" si="19"/>
        <v>0</v>
      </c>
      <c r="O217" s="89">
        <f t="shared" si="19"/>
        <v>47.498100000000001</v>
      </c>
      <c r="P217" s="89">
        <f t="shared" si="19"/>
        <v>47.498100000000001</v>
      </c>
      <c r="Q217" s="89">
        <f t="shared" si="19"/>
        <v>0</v>
      </c>
      <c r="R217" s="89">
        <f t="shared" si="19"/>
        <v>45.864600000000003</v>
      </c>
      <c r="S217" s="90">
        <f t="shared" si="19"/>
        <v>0</v>
      </c>
      <c r="T217" s="90">
        <f t="shared" si="19"/>
        <v>4570.9749879999999</v>
      </c>
      <c r="U217" s="89">
        <f t="shared" si="19"/>
        <v>0</v>
      </c>
      <c r="V217" s="89">
        <f t="shared" si="19"/>
        <v>2</v>
      </c>
      <c r="W217" s="89">
        <f t="shared" si="19"/>
        <v>0</v>
      </c>
      <c r="X217" s="89">
        <f t="shared" si="2"/>
        <v>4968.736038</v>
      </c>
      <c r="Y217" s="366"/>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57"/>
      <c r="X220" s="358"/>
      <c r="Y220" s="357"/>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57"/>
      <c r="X221" s="357"/>
      <c r="Y221" s="358"/>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38"/>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38"/>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38"/>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38"/>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38"/>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38"/>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38"/>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38"/>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38"/>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38"/>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38"/>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38"/>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38"/>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38"/>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38"/>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38"/>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38"/>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38"/>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38"/>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38"/>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38"/>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38"/>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38"/>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38"/>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38"/>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38"/>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38"/>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38"/>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38"/>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38"/>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38"/>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38"/>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38"/>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38"/>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38"/>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38"/>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38"/>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38"/>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38"/>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38"/>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38"/>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38"/>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38"/>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38"/>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38"/>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38"/>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38"/>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38"/>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38"/>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38"/>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38"/>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38"/>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38"/>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38"/>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38"/>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38"/>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38"/>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38"/>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38"/>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38"/>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38"/>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38"/>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38"/>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38"/>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38"/>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38"/>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38"/>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38"/>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38"/>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38"/>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38"/>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38"/>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38"/>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38"/>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38"/>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38"/>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38"/>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38"/>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38"/>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38"/>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38"/>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38"/>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38"/>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38"/>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38"/>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38"/>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38"/>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38"/>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38"/>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38"/>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38"/>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38"/>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38"/>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38"/>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38"/>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38"/>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38"/>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38"/>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38"/>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38"/>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38"/>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38"/>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38"/>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38"/>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38"/>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38"/>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38"/>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38"/>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38"/>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38"/>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38"/>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38"/>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38"/>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38"/>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38"/>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38"/>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38"/>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38"/>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38"/>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38"/>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38"/>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38"/>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38"/>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38"/>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38"/>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38"/>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38"/>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38"/>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38"/>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38"/>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38"/>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38"/>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38"/>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38"/>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38"/>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38"/>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38"/>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38"/>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38"/>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38"/>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38"/>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38"/>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38"/>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38"/>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38"/>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38"/>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38"/>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38"/>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38"/>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38"/>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38"/>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38"/>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38"/>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38"/>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38"/>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38"/>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38"/>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38"/>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38"/>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38"/>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38"/>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38"/>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38"/>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38"/>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38"/>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38"/>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38"/>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38"/>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38"/>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38"/>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38"/>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38"/>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38"/>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38"/>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38"/>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38"/>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38"/>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38"/>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38"/>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38"/>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38"/>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38"/>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38"/>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38"/>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38"/>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38"/>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38"/>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38"/>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38"/>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38"/>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38"/>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38"/>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38"/>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38"/>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38"/>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38"/>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38"/>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38"/>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38"/>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38"/>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38"/>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38"/>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38"/>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38"/>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38"/>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38"/>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38"/>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38"/>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38"/>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38"/>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38"/>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38"/>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38"/>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38"/>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38"/>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38"/>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38"/>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38"/>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38"/>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38"/>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38"/>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38"/>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38"/>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38"/>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38"/>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38"/>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38"/>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38"/>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38"/>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38"/>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38"/>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38"/>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38"/>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38"/>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38"/>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38"/>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38"/>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38"/>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38"/>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38"/>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38"/>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38"/>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38"/>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38"/>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38"/>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38"/>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38"/>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38"/>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38"/>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38"/>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38"/>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38"/>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38"/>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38"/>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38"/>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38"/>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38"/>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38"/>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38"/>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38"/>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38"/>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38"/>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38"/>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38"/>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38"/>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38"/>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38"/>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38"/>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38"/>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38"/>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38"/>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38"/>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38"/>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38"/>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38"/>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38"/>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38"/>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38"/>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38"/>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38"/>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38"/>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38"/>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38"/>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38"/>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38"/>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38"/>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38"/>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38"/>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38"/>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38"/>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38"/>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38"/>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38"/>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38"/>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38"/>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38"/>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38"/>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38"/>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38"/>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38"/>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38"/>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38"/>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38"/>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38"/>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38"/>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38"/>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38"/>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38"/>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38"/>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38"/>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38"/>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38"/>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38"/>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38"/>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38"/>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38"/>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38"/>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38"/>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38"/>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38"/>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38"/>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38"/>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38"/>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38"/>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38"/>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38"/>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38"/>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38"/>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38"/>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38"/>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38"/>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38"/>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38"/>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38"/>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38"/>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38"/>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38"/>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38"/>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38"/>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38"/>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38"/>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38"/>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38"/>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38"/>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38"/>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38"/>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38"/>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38"/>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38"/>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38"/>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38"/>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38"/>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38"/>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38"/>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38"/>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38"/>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38"/>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38"/>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38"/>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38"/>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38"/>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38"/>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38"/>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38"/>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38"/>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38"/>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38"/>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38"/>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38"/>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38"/>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38"/>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38"/>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38"/>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38"/>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38"/>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38"/>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38"/>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38"/>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38"/>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38"/>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38"/>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38"/>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38"/>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38"/>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38"/>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38"/>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38"/>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38"/>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38"/>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38"/>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38"/>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38"/>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38"/>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38"/>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38"/>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38"/>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38"/>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38"/>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38"/>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38"/>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38"/>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38"/>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38"/>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38"/>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38"/>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38"/>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38"/>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38"/>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38"/>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38"/>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38"/>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38"/>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38"/>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38"/>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38"/>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38"/>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38"/>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38"/>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38"/>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38"/>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38"/>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38"/>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38"/>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38"/>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38"/>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38"/>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38"/>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38"/>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38"/>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38"/>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38"/>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38"/>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38"/>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38"/>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38"/>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38"/>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38"/>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38"/>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38"/>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38"/>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38"/>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38"/>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38"/>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38"/>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38"/>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38"/>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38"/>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38"/>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38"/>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38"/>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38"/>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38"/>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38"/>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38"/>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38"/>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38"/>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38"/>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38"/>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38"/>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38"/>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38"/>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38"/>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38"/>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38"/>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38"/>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38"/>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38"/>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38"/>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38"/>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38"/>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38"/>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38"/>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38"/>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38"/>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38"/>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38"/>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38"/>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38"/>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38"/>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38"/>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38"/>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38"/>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38"/>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38"/>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38"/>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38"/>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38"/>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38"/>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38"/>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38"/>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38"/>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38"/>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38"/>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38"/>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38"/>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38"/>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38"/>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38"/>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38"/>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38"/>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38"/>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38"/>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38"/>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38"/>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38"/>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38"/>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38"/>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38"/>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38"/>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38"/>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38"/>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38"/>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38"/>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38"/>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38"/>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38"/>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38"/>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38"/>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38"/>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38"/>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38"/>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38"/>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38"/>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38"/>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38"/>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38"/>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38"/>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38"/>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38"/>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38"/>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38"/>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38"/>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38"/>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38"/>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38"/>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38"/>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38"/>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38"/>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38"/>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38"/>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38"/>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38"/>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38"/>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38"/>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38"/>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38"/>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38"/>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38"/>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38"/>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38"/>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38"/>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38"/>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38"/>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38"/>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38"/>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38"/>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38"/>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38"/>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38"/>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38"/>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38"/>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38"/>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38"/>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38"/>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38"/>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38"/>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38"/>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38"/>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38"/>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38"/>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38"/>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38"/>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38"/>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38"/>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38"/>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38"/>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38"/>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38"/>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38"/>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38"/>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38"/>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38"/>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38"/>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38"/>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38"/>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38"/>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38"/>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38"/>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38"/>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ummaryRight="0"/>
  </sheetPr>
  <dimension ref="A1:Z972"/>
  <sheetViews>
    <sheetView topLeftCell="D1" workbookViewId="0">
      <pane ySplit="5" topLeftCell="A6" activePane="bottomLeft" state="frozen"/>
      <selection pane="bottomLeft" activeCell="Y8" sqref="Y8"/>
    </sheetView>
  </sheetViews>
  <sheetFormatPr defaultColWidth="14.42578125" defaultRowHeight="15" customHeight="1"/>
  <cols>
    <col min="1" max="1" width="5.140625" style="111" hidden="1" customWidth="1"/>
    <col min="2" max="2" width="3.28515625" style="111" customWidth="1"/>
    <col min="3" max="3" width="10" style="111" customWidth="1"/>
    <col min="4" max="4" width="12" style="111" customWidth="1"/>
    <col min="5" max="5" width="25.42578125" style="111" customWidth="1"/>
    <col min="6" max="6" width="9.28515625" style="111" customWidth="1"/>
    <col min="7" max="7" width="6.140625" style="111" hidden="1" customWidth="1"/>
    <col min="8" max="8" width="10.28515625" style="111" customWidth="1"/>
    <col min="9" max="9" width="9" style="111" customWidth="1"/>
    <col min="10" max="10" width="9.7109375" style="111" customWidth="1"/>
    <col min="11" max="11" width="8.42578125" style="111" hidden="1" customWidth="1"/>
    <col min="12" max="12" width="11.28515625" style="111" customWidth="1"/>
    <col min="13" max="13" width="9.42578125" style="111" hidden="1" customWidth="1"/>
    <col min="14" max="14" width="10.42578125" style="111" customWidth="1"/>
    <col min="15" max="15" width="10.140625" style="111" customWidth="1"/>
    <col min="16" max="16" width="7" style="111" customWidth="1"/>
    <col min="17" max="17" width="15" style="111" hidden="1" customWidth="1"/>
    <col min="18" max="18" width="9.5703125" style="111" customWidth="1"/>
    <col min="19" max="19" width="12.28515625" style="111" hidden="1" customWidth="1"/>
    <col min="20" max="20" width="13.42578125" style="111" customWidth="1"/>
    <col min="21" max="21" width="14.28515625" style="111" hidden="1" customWidth="1"/>
    <col min="22" max="22" width="9.85546875" style="111" customWidth="1"/>
    <col min="23" max="23" width="9.140625" style="111" hidden="1" customWidth="1"/>
    <col min="24" max="24" width="9.42578125" style="111" customWidth="1"/>
    <col min="25" max="25" width="40.28515625" style="157"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row>
    <row r="2" spans="1:25" ht="23.25" customHeight="1">
      <c r="A2" s="38"/>
      <c r="B2" s="38"/>
      <c r="C2" s="38"/>
      <c r="D2" s="38"/>
      <c r="E2" s="38"/>
      <c r="F2" s="38"/>
      <c r="G2" s="38"/>
      <c r="H2" s="38"/>
      <c r="I2" s="38"/>
      <c r="J2" s="38"/>
      <c r="K2" s="38"/>
      <c r="L2" s="38"/>
      <c r="M2" s="38"/>
      <c r="N2" s="38"/>
      <c r="O2" s="38"/>
      <c r="P2" s="38"/>
      <c r="Q2" s="38"/>
      <c r="R2" s="38"/>
      <c r="S2" s="38"/>
      <c r="T2" s="38"/>
      <c r="U2" s="38"/>
      <c r="V2" s="38"/>
      <c r="W2" s="38"/>
      <c r="X2" s="38"/>
      <c r="Y2" s="39"/>
    </row>
    <row r="3" spans="1:25" ht="23.25" customHeight="1">
      <c r="A3" s="38"/>
      <c r="B3" s="112"/>
      <c r="C3" s="112"/>
      <c r="D3" s="112"/>
      <c r="E3" s="112" t="s">
        <v>370</v>
      </c>
      <c r="F3" s="112"/>
      <c r="G3" s="112"/>
      <c r="H3" s="112"/>
      <c r="I3" s="112"/>
      <c r="J3" s="112"/>
      <c r="K3" s="112"/>
      <c r="L3" s="112"/>
      <c r="M3" s="112"/>
      <c r="N3" s="112"/>
      <c r="O3" s="112"/>
      <c r="P3" s="112"/>
      <c r="Q3" s="112"/>
      <c r="R3" s="112"/>
      <c r="S3" s="112"/>
      <c r="T3" s="112"/>
      <c r="U3" s="112"/>
      <c r="V3" s="112"/>
      <c r="W3" s="113"/>
      <c r="X3" s="470" t="s">
        <v>2</v>
      </c>
      <c r="Y3" s="471"/>
    </row>
    <row r="4" spans="1:25" ht="60"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63"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39" customHeight="1">
      <c r="A6" s="477" t="s">
        <v>24</v>
      </c>
      <c r="B6" s="476" t="s">
        <v>25</v>
      </c>
      <c r="C6" s="476" t="s">
        <v>26</v>
      </c>
      <c r="D6" s="106">
        <v>1</v>
      </c>
      <c r="E6" s="223"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7"/>
    </row>
    <row r="7" spans="1:25" ht="47.25">
      <c r="A7" s="469"/>
      <c r="B7" s="469"/>
      <c r="C7" s="469"/>
      <c r="D7" s="106">
        <v>2</v>
      </c>
      <c r="E7" s="115" t="s">
        <v>28</v>
      </c>
      <c r="F7" s="116"/>
      <c r="G7" s="116"/>
      <c r="H7" s="116"/>
      <c r="I7" s="116"/>
      <c r="J7" s="116">
        <f t="shared" si="0"/>
        <v>0</v>
      </c>
      <c r="K7" s="116"/>
      <c r="L7" s="116"/>
      <c r="M7" s="116"/>
      <c r="N7" s="116"/>
      <c r="O7" s="119"/>
      <c r="P7" s="117">
        <f t="shared" si="1"/>
        <v>0</v>
      </c>
      <c r="Q7" s="120"/>
      <c r="R7" s="120"/>
      <c r="S7" s="121"/>
      <c r="T7" s="121"/>
      <c r="U7" s="116"/>
      <c r="V7" s="116"/>
      <c r="W7" s="117"/>
      <c r="X7" s="117">
        <f t="shared" si="2"/>
        <v>0</v>
      </c>
      <c r="Y7" s="97"/>
    </row>
    <row r="8" spans="1:25" ht="157.5">
      <c r="A8" s="469"/>
      <c r="B8" s="469"/>
      <c r="C8" s="469"/>
      <c r="D8" s="106">
        <v>3</v>
      </c>
      <c r="E8" s="106" t="s">
        <v>29</v>
      </c>
      <c r="F8" s="121">
        <v>42.141390000000001</v>
      </c>
      <c r="G8" s="120"/>
      <c r="H8" s="120"/>
      <c r="I8" s="120"/>
      <c r="J8" s="116">
        <f t="shared" si="0"/>
        <v>0</v>
      </c>
      <c r="K8" s="120"/>
      <c r="L8" s="120"/>
      <c r="M8" s="120"/>
      <c r="N8" s="120"/>
      <c r="O8" s="120"/>
      <c r="P8" s="116">
        <f t="shared" si="1"/>
        <v>0</v>
      </c>
      <c r="Q8" s="120"/>
      <c r="R8" s="120"/>
      <c r="S8" s="120"/>
      <c r="T8" s="120"/>
      <c r="U8" s="116"/>
      <c r="V8" s="116"/>
      <c r="W8" s="117"/>
      <c r="X8" s="117">
        <f t="shared" si="2"/>
        <v>42.141390000000001</v>
      </c>
      <c r="Y8" s="97" t="s">
        <v>847</v>
      </c>
    </row>
    <row r="9" spans="1:25" ht="409.5">
      <c r="A9" s="469"/>
      <c r="B9" s="469"/>
      <c r="C9" s="469"/>
      <c r="D9" s="106">
        <v>4</v>
      </c>
      <c r="E9" s="106" t="s">
        <v>30</v>
      </c>
      <c r="F9" s="116"/>
      <c r="G9" s="116"/>
      <c r="H9" s="116"/>
      <c r="I9" s="116"/>
      <c r="J9" s="116">
        <f t="shared" si="0"/>
        <v>0</v>
      </c>
      <c r="K9" s="116"/>
      <c r="L9" s="116"/>
      <c r="M9" s="116"/>
      <c r="N9" s="116"/>
      <c r="O9" s="302">
        <v>64.874499999999998</v>
      </c>
      <c r="P9" s="116">
        <f t="shared" si="1"/>
        <v>64.874499999999998</v>
      </c>
      <c r="Q9" s="122"/>
      <c r="R9" s="261">
        <v>78.921999999999997</v>
      </c>
      <c r="S9" s="121" t="s">
        <v>350</v>
      </c>
      <c r="T9" s="121">
        <v>82.934600000000003</v>
      </c>
      <c r="U9" s="120"/>
      <c r="V9" s="120"/>
      <c r="W9" s="117"/>
      <c r="X9" s="117">
        <f t="shared" si="2"/>
        <v>226.73109999999997</v>
      </c>
      <c r="Y9" s="97" t="s">
        <v>848</v>
      </c>
    </row>
    <row r="10" spans="1:25" ht="41.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367">
        <v>43.448999999999998</v>
      </c>
      <c r="U10" s="120"/>
      <c r="V10" s="120"/>
      <c r="W10" s="117"/>
      <c r="X10" s="117">
        <f t="shared" si="2"/>
        <v>43.448999999999998</v>
      </c>
      <c r="Y10" s="97" t="s">
        <v>849</v>
      </c>
    </row>
    <row r="11" spans="1:25" ht="236.25">
      <c r="A11" s="469"/>
      <c r="B11" s="469"/>
      <c r="C11" s="469"/>
      <c r="D11" s="106">
        <v>6</v>
      </c>
      <c r="E11" s="106" t="s">
        <v>32</v>
      </c>
      <c r="F11" s="120">
        <v>1.44</v>
      </c>
      <c r="G11" s="120"/>
      <c r="H11" s="120"/>
      <c r="I11" s="120"/>
      <c r="J11" s="116">
        <f t="shared" si="0"/>
        <v>0</v>
      </c>
      <c r="K11" s="120"/>
      <c r="L11" s="120"/>
      <c r="M11" s="120"/>
      <c r="N11" s="120"/>
      <c r="O11" s="120"/>
      <c r="P11" s="116">
        <f t="shared" si="1"/>
        <v>0</v>
      </c>
      <c r="Q11" s="120"/>
      <c r="R11" s="120"/>
      <c r="S11" s="121"/>
      <c r="T11" s="121">
        <v>0.53</v>
      </c>
      <c r="U11" s="120"/>
      <c r="V11" s="120"/>
      <c r="W11" s="117"/>
      <c r="X11" s="117">
        <f t="shared" si="2"/>
        <v>1.97</v>
      </c>
      <c r="Y11" s="97" t="s">
        <v>850</v>
      </c>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7"/>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7"/>
    </row>
    <row r="14" spans="1:25" ht="72"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0.03</v>
      </c>
      <c r="U14" s="121"/>
      <c r="V14" s="121"/>
      <c r="W14" s="117"/>
      <c r="X14" s="117">
        <f t="shared" si="2"/>
        <v>0.03</v>
      </c>
      <c r="Y14" s="97" t="s">
        <v>823</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7"/>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7"/>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7"/>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7"/>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7"/>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7"/>
    </row>
    <row r="21" spans="1:25" ht="36.75" hidden="1"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7"/>
    </row>
    <row r="22" spans="1:25" ht="15.7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7"/>
    </row>
    <row r="23" spans="1:25" ht="31.5" hidden="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7"/>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7"/>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7"/>
    </row>
    <row r="26" spans="1:25" ht="110.25">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21.54</v>
      </c>
      <c r="U26" s="241"/>
      <c r="V26" s="120"/>
      <c r="W26" s="117"/>
      <c r="X26" s="117">
        <f t="shared" si="2"/>
        <v>21.54</v>
      </c>
      <c r="Y26" s="135" t="s">
        <v>748</v>
      </c>
    </row>
    <row r="27" spans="1:25" ht="189">
      <c r="A27" s="469"/>
      <c r="B27" s="469"/>
      <c r="C27" s="469"/>
      <c r="D27" s="106">
        <v>22</v>
      </c>
      <c r="E27" s="106" t="s">
        <v>52</v>
      </c>
      <c r="F27" s="121"/>
      <c r="G27" s="120"/>
      <c r="H27" s="120"/>
      <c r="I27" s="121"/>
      <c r="J27" s="125">
        <f t="shared" si="0"/>
        <v>0</v>
      </c>
      <c r="K27" s="129"/>
      <c r="L27" s="129">
        <v>21.159500000000001</v>
      </c>
      <c r="M27" s="115"/>
      <c r="N27" s="120"/>
      <c r="O27" s="120"/>
      <c r="P27" s="116">
        <f t="shared" si="1"/>
        <v>0</v>
      </c>
      <c r="Q27" s="121"/>
      <c r="R27" s="121">
        <v>1</v>
      </c>
      <c r="S27" s="125"/>
      <c r="T27" s="121">
        <v>282.04599999999999</v>
      </c>
      <c r="U27" s="180"/>
      <c r="V27" s="120"/>
      <c r="W27" s="117"/>
      <c r="X27" s="117">
        <f t="shared" si="2"/>
        <v>304.20549999999997</v>
      </c>
      <c r="Y27" s="97" t="s">
        <v>749</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245"/>
    </row>
    <row r="29" spans="1:25" ht="141.75">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4.05</v>
      </c>
      <c r="U29" s="298"/>
      <c r="V29" s="120"/>
      <c r="W29" s="117"/>
      <c r="X29" s="117">
        <f t="shared" si="2"/>
        <v>4.05</v>
      </c>
      <c r="Y29" s="97" t="s">
        <v>750</v>
      </c>
    </row>
    <row r="30" spans="1:25" ht="393.7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0.6</v>
      </c>
      <c r="U30" s="115"/>
      <c r="V30" s="120"/>
      <c r="W30" s="117"/>
      <c r="X30" s="117">
        <f t="shared" si="2"/>
        <v>0.6</v>
      </c>
      <c r="Y30" s="97" t="s">
        <v>751</v>
      </c>
    </row>
    <row r="31" spans="1:25" ht="15.75">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97"/>
    </row>
    <row r="32" spans="1:25" ht="41.25" customHeight="1">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2</v>
      </c>
      <c r="U32" s="131"/>
      <c r="V32" s="120"/>
      <c r="W32" s="117"/>
      <c r="X32" s="117">
        <f t="shared" si="2"/>
        <v>2</v>
      </c>
      <c r="Y32" s="97" t="s">
        <v>795</v>
      </c>
    </row>
    <row r="33" spans="1:26" ht="63">
      <c r="A33" s="469"/>
      <c r="B33" s="469"/>
      <c r="C33" s="469"/>
      <c r="D33" s="106">
        <v>28</v>
      </c>
      <c r="E33" s="106" t="s">
        <v>30</v>
      </c>
      <c r="F33" s="120"/>
      <c r="G33" s="120"/>
      <c r="H33" s="120"/>
      <c r="I33" s="120"/>
      <c r="J33" s="116">
        <f t="shared" si="0"/>
        <v>0</v>
      </c>
      <c r="K33" s="120"/>
      <c r="L33" s="120"/>
      <c r="M33" s="120"/>
      <c r="N33" s="120"/>
      <c r="O33" s="122">
        <v>8.2398000000000007</v>
      </c>
      <c r="P33" s="117">
        <f t="shared" si="1"/>
        <v>8.2398000000000007</v>
      </c>
      <c r="Q33" s="97"/>
      <c r="R33" s="122">
        <v>8.2398000000000007</v>
      </c>
      <c r="S33" s="97"/>
      <c r="T33" s="120"/>
      <c r="U33" s="120"/>
      <c r="V33" s="120"/>
      <c r="W33" s="117"/>
      <c r="X33" s="117">
        <f t="shared" si="2"/>
        <v>16.479600000000001</v>
      </c>
      <c r="Y33" s="135" t="s">
        <v>752</v>
      </c>
    </row>
    <row r="34" spans="1:26" ht="47.25">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28.839300000000001</v>
      </c>
      <c r="U34" s="97"/>
      <c r="V34" s="120"/>
      <c r="W34" s="117"/>
      <c r="X34" s="117">
        <f t="shared" si="2"/>
        <v>28.839300000000001</v>
      </c>
      <c r="Y34" s="135" t="s">
        <v>753</v>
      </c>
    </row>
    <row r="35" spans="1:26" ht="31.5">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97"/>
    </row>
    <row r="36" spans="1:26" ht="31.5" hidden="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7"/>
    </row>
    <row r="37" spans="1:26" ht="393.75">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20.4725</v>
      </c>
      <c r="U37" s="122"/>
      <c r="V37" s="122"/>
      <c r="W37" s="117"/>
      <c r="X37" s="117">
        <f t="shared" si="2"/>
        <v>20.4725</v>
      </c>
      <c r="Y37" s="97" t="s">
        <v>1168</v>
      </c>
    </row>
    <row r="38" spans="1:26" ht="35.25" customHeight="1">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97"/>
    </row>
    <row r="39" spans="1:26" ht="39.75"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7"/>
    </row>
    <row r="40" spans="1:26" ht="189">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f>0.6+0.96+0.15</f>
        <v>1.71</v>
      </c>
      <c r="U40" s="116"/>
      <c r="V40" s="116"/>
      <c r="W40" s="117"/>
      <c r="X40" s="117">
        <f t="shared" si="2"/>
        <v>1.71</v>
      </c>
      <c r="Y40" s="97" t="s">
        <v>371</v>
      </c>
    </row>
    <row r="41" spans="1:26" ht="31.5">
      <c r="A41" s="469"/>
      <c r="B41" s="469"/>
      <c r="C41" s="469"/>
      <c r="D41" s="106">
        <v>36</v>
      </c>
      <c r="E41" s="223" t="s">
        <v>70</v>
      </c>
      <c r="F41" s="116"/>
      <c r="G41" s="116"/>
      <c r="H41" s="116"/>
      <c r="I41" s="116"/>
      <c r="J41" s="116">
        <f t="shared" si="0"/>
        <v>0</v>
      </c>
      <c r="K41" s="116"/>
      <c r="L41" s="116"/>
      <c r="M41" s="116"/>
      <c r="N41" s="116"/>
      <c r="O41" s="117"/>
      <c r="P41" s="117">
        <f t="shared" si="1"/>
        <v>0</v>
      </c>
      <c r="Q41" s="116"/>
      <c r="R41" s="116"/>
      <c r="S41" s="116"/>
      <c r="T41" s="116"/>
      <c r="U41" s="116"/>
      <c r="V41" s="116"/>
      <c r="W41" s="117"/>
      <c r="X41" s="117">
        <f t="shared" si="2"/>
        <v>0</v>
      </c>
      <c r="Y41" s="97"/>
    </row>
    <row r="42" spans="1:26" ht="31.5">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7"/>
    </row>
    <row r="43" spans="1:26" ht="110.25">
      <c r="A43" s="469"/>
      <c r="B43" s="469"/>
      <c r="C43" s="469"/>
      <c r="D43" s="106">
        <v>38</v>
      </c>
      <c r="E43" s="223" t="s">
        <v>72</v>
      </c>
      <c r="F43" s="116"/>
      <c r="G43" s="116"/>
      <c r="H43" s="116"/>
      <c r="I43" s="116"/>
      <c r="J43" s="116">
        <f t="shared" si="0"/>
        <v>0</v>
      </c>
      <c r="K43" s="116"/>
      <c r="L43" s="116"/>
      <c r="M43" s="116"/>
      <c r="N43" s="116"/>
      <c r="O43" s="116"/>
      <c r="P43" s="116">
        <f t="shared" si="1"/>
        <v>0</v>
      </c>
      <c r="Q43" s="116"/>
      <c r="R43" s="116"/>
      <c r="S43" s="125"/>
      <c r="T43" s="125">
        <f>1.2+0.5</f>
        <v>1.7</v>
      </c>
      <c r="U43" s="116"/>
      <c r="V43" s="116"/>
      <c r="W43" s="117"/>
      <c r="X43" s="117">
        <f t="shared" si="2"/>
        <v>1.7</v>
      </c>
      <c r="Y43" s="97" t="s">
        <v>372</v>
      </c>
    </row>
    <row r="44" spans="1:26" ht="47.25">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16"/>
      <c r="V44" s="116"/>
      <c r="W44" s="117"/>
      <c r="X44" s="117">
        <f t="shared" si="2"/>
        <v>0</v>
      </c>
      <c r="Y44" s="97"/>
    </row>
    <row r="45" spans="1:26" ht="78.75">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(500*19*15)/100000</f>
        <v>1.425</v>
      </c>
      <c r="U45" s="116"/>
      <c r="V45" s="116"/>
      <c r="W45" s="117"/>
      <c r="X45" s="117">
        <f t="shared" si="2"/>
        <v>1.425</v>
      </c>
      <c r="Y45" s="97" t="s">
        <v>574</v>
      </c>
    </row>
    <row r="46" spans="1:26" ht="31.5" hidden="1">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7"/>
    </row>
    <row r="47" spans="1:26" ht="78.75">
      <c r="A47" s="469"/>
      <c r="B47" s="476" t="s">
        <v>76</v>
      </c>
      <c r="C47" s="476" t="s">
        <v>77</v>
      </c>
      <c r="D47" s="106">
        <v>42</v>
      </c>
      <c r="E47" s="106" t="s">
        <v>78</v>
      </c>
      <c r="F47" s="121">
        <v>4.9085000000000001</v>
      </c>
      <c r="G47" s="120"/>
      <c r="H47" s="120"/>
      <c r="I47" s="120"/>
      <c r="J47" s="116">
        <f t="shared" si="0"/>
        <v>0</v>
      </c>
      <c r="K47" s="122"/>
      <c r="L47" s="122"/>
      <c r="M47" s="120"/>
      <c r="N47" s="120"/>
      <c r="O47" s="120"/>
      <c r="P47" s="116">
        <f t="shared" si="1"/>
        <v>0</v>
      </c>
      <c r="Q47" s="120"/>
      <c r="R47" s="120"/>
      <c r="S47" s="121"/>
      <c r="T47" s="121"/>
      <c r="U47" s="120"/>
      <c r="V47" s="120"/>
      <c r="W47" s="117"/>
      <c r="X47" s="117">
        <f t="shared" si="2"/>
        <v>4.9085000000000001</v>
      </c>
      <c r="Y47" s="97" t="s">
        <v>941</v>
      </c>
      <c r="Z47" s="111">
        <f>167*1000+499*650</f>
        <v>491350</v>
      </c>
    </row>
    <row r="48" spans="1:26" ht="31.5">
      <c r="A48" s="469"/>
      <c r="B48" s="469"/>
      <c r="C48" s="469"/>
      <c r="D48" s="106">
        <v>43</v>
      </c>
      <c r="E48" s="106" t="s">
        <v>79</v>
      </c>
      <c r="F48" s="121">
        <v>0.27</v>
      </c>
      <c r="G48" s="120"/>
      <c r="H48" s="120"/>
      <c r="I48" s="120"/>
      <c r="J48" s="116">
        <f t="shared" si="0"/>
        <v>0</v>
      </c>
      <c r="K48" s="122"/>
      <c r="L48" s="122"/>
      <c r="M48" s="120"/>
      <c r="N48" s="120"/>
      <c r="O48" s="120"/>
      <c r="P48" s="116">
        <f t="shared" si="1"/>
        <v>0</v>
      </c>
      <c r="Q48" s="120"/>
      <c r="R48" s="120"/>
      <c r="S48" s="121"/>
      <c r="T48" s="121"/>
      <c r="U48" s="120"/>
      <c r="V48" s="120"/>
      <c r="W48" s="117"/>
      <c r="X48" s="117">
        <f t="shared" si="2"/>
        <v>0.27</v>
      </c>
      <c r="Y48" s="97" t="s">
        <v>942</v>
      </c>
    </row>
    <row r="49" spans="1:25" ht="63">
      <c r="A49" s="469"/>
      <c r="B49" s="469"/>
      <c r="C49" s="469"/>
      <c r="D49" s="106">
        <v>44</v>
      </c>
      <c r="E49" s="106" t="s">
        <v>80</v>
      </c>
      <c r="F49" s="121">
        <v>0.20699999999999999</v>
      </c>
      <c r="G49" s="120"/>
      <c r="H49" s="120"/>
      <c r="I49" s="120"/>
      <c r="J49" s="116">
        <f t="shared" si="0"/>
        <v>0</v>
      </c>
      <c r="K49" s="122"/>
      <c r="L49" s="122"/>
      <c r="M49" s="120"/>
      <c r="N49" s="120"/>
      <c r="O49" s="120"/>
      <c r="P49" s="116">
        <f t="shared" si="1"/>
        <v>0</v>
      </c>
      <c r="Q49" s="120"/>
      <c r="R49" s="120"/>
      <c r="S49" s="121"/>
      <c r="T49" s="121"/>
      <c r="U49" s="120"/>
      <c r="V49" s="120"/>
      <c r="W49" s="117"/>
      <c r="X49" s="117">
        <f t="shared" si="2"/>
        <v>0.20699999999999999</v>
      </c>
      <c r="Y49" s="97" t="s">
        <v>894</v>
      </c>
    </row>
    <row r="50" spans="1:25" ht="78.75">
      <c r="A50" s="469"/>
      <c r="B50" s="469"/>
      <c r="C50" s="469"/>
      <c r="D50" s="106">
        <v>45</v>
      </c>
      <c r="E50" s="106" t="s">
        <v>81</v>
      </c>
      <c r="F50" s="121">
        <v>0.29799999999999999</v>
      </c>
      <c r="G50" s="120"/>
      <c r="H50" s="120"/>
      <c r="I50" s="120"/>
      <c r="J50" s="116">
        <f t="shared" si="0"/>
        <v>0</v>
      </c>
      <c r="K50" s="120"/>
      <c r="L50" s="120"/>
      <c r="M50" s="120"/>
      <c r="N50" s="120"/>
      <c r="O50" s="120"/>
      <c r="P50" s="116">
        <f t="shared" si="1"/>
        <v>0</v>
      </c>
      <c r="Q50" s="120"/>
      <c r="R50" s="120"/>
      <c r="S50" s="120"/>
      <c r="T50" s="120"/>
      <c r="U50" s="120"/>
      <c r="V50" s="120"/>
      <c r="W50" s="117"/>
      <c r="X50" s="117">
        <f t="shared" si="2"/>
        <v>0.29799999999999999</v>
      </c>
      <c r="Y50" s="97" t="s">
        <v>895</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7"/>
    </row>
    <row r="52" spans="1:25" ht="31.5">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97"/>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97"/>
    </row>
    <row r="54" spans="1:25" ht="47.25">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97"/>
    </row>
    <row r="55" spans="1:25" ht="31.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97"/>
    </row>
    <row r="56" spans="1:25" ht="31.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7"/>
    </row>
    <row r="57" spans="1:25" ht="15.7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97"/>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245"/>
    </row>
    <row r="59" spans="1:25" ht="173.25">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1</v>
      </c>
      <c r="U59" s="115"/>
      <c r="V59" s="120"/>
      <c r="W59" s="117"/>
      <c r="X59" s="117">
        <f t="shared" si="2"/>
        <v>1</v>
      </c>
      <c r="Y59" s="97" t="s">
        <v>92</v>
      </c>
    </row>
    <row r="60" spans="1:25" ht="31.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7"/>
    </row>
    <row r="61" spans="1:25" ht="31.5">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0"/>
      <c r="T61" s="120"/>
      <c r="U61" s="120"/>
      <c r="V61" s="120"/>
      <c r="W61" s="117"/>
      <c r="X61" s="117">
        <f t="shared" si="2"/>
        <v>0</v>
      </c>
      <c r="Y61" s="97"/>
    </row>
    <row r="62" spans="1:25" ht="78.75">
      <c r="A62" s="469"/>
      <c r="B62" s="469"/>
      <c r="C62" s="469"/>
      <c r="D62" s="106">
        <v>57</v>
      </c>
      <c r="E62" s="106" t="s">
        <v>95</v>
      </c>
      <c r="F62" s="120"/>
      <c r="G62" s="120"/>
      <c r="H62" s="120"/>
      <c r="I62" s="121"/>
      <c r="J62" s="125">
        <f t="shared" si="0"/>
        <v>0</v>
      </c>
      <c r="K62" s="120"/>
      <c r="L62" s="120"/>
      <c r="M62" s="120"/>
      <c r="N62" s="120"/>
      <c r="O62" s="120"/>
      <c r="P62" s="116">
        <f t="shared" si="1"/>
        <v>0</v>
      </c>
      <c r="Q62" s="121"/>
      <c r="R62" s="168">
        <v>1.05</v>
      </c>
      <c r="S62" s="97"/>
      <c r="T62" s="120"/>
      <c r="U62" s="120"/>
      <c r="V62" s="120"/>
      <c r="W62" s="117"/>
      <c r="X62" s="117">
        <f t="shared" si="2"/>
        <v>1.05</v>
      </c>
      <c r="Y62" s="97" t="s">
        <v>373</v>
      </c>
    </row>
    <row r="63" spans="1:25" ht="31.5">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245"/>
    </row>
    <row r="64" spans="1:25" ht="15.7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7"/>
    </row>
    <row r="65" spans="1:25" ht="31.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7"/>
    </row>
    <row r="66" spans="1:25" ht="31.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7"/>
    </row>
    <row r="67" spans="1:25" ht="157.5">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135"/>
    </row>
    <row r="68" spans="1:25" ht="15.75">
      <c r="A68" s="469"/>
      <c r="B68" s="478" t="s">
        <v>103</v>
      </c>
      <c r="C68" s="469"/>
      <c r="D68" s="469"/>
      <c r="E68" s="99"/>
      <c r="F68" s="102">
        <f t="shared" ref="F68:W68" si="3">SUM(F6:F67)</f>
        <v>49.264890000000008</v>
      </c>
      <c r="G68" s="102">
        <f t="shared" si="3"/>
        <v>0</v>
      </c>
      <c r="H68" s="102">
        <f t="shared" si="3"/>
        <v>0</v>
      </c>
      <c r="I68" s="102">
        <f t="shared" si="3"/>
        <v>0</v>
      </c>
      <c r="J68" s="102">
        <f t="shared" si="3"/>
        <v>0</v>
      </c>
      <c r="K68" s="102">
        <f t="shared" si="3"/>
        <v>0</v>
      </c>
      <c r="L68" s="102">
        <f t="shared" si="3"/>
        <v>21.159500000000001</v>
      </c>
      <c r="M68" s="102">
        <f t="shared" si="3"/>
        <v>0</v>
      </c>
      <c r="N68" s="102">
        <f t="shared" si="3"/>
        <v>0</v>
      </c>
      <c r="O68" s="102">
        <f t="shared" si="3"/>
        <v>73.1143</v>
      </c>
      <c r="P68" s="102">
        <f t="shared" si="3"/>
        <v>73.1143</v>
      </c>
      <c r="Q68" s="102">
        <f t="shared" si="3"/>
        <v>0</v>
      </c>
      <c r="R68" s="102">
        <f t="shared" si="3"/>
        <v>89.211799999999997</v>
      </c>
      <c r="S68" s="102">
        <f t="shared" si="3"/>
        <v>0</v>
      </c>
      <c r="T68" s="102">
        <f t="shared" si="3"/>
        <v>492.32639999999998</v>
      </c>
      <c r="U68" s="102">
        <f t="shared" si="3"/>
        <v>0</v>
      </c>
      <c r="V68" s="102">
        <f t="shared" si="3"/>
        <v>0</v>
      </c>
      <c r="W68" s="102">
        <f t="shared" si="3"/>
        <v>0</v>
      </c>
      <c r="X68" s="117">
        <f t="shared" si="2"/>
        <v>725.07689000000005</v>
      </c>
      <c r="Y68" s="135"/>
    </row>
    <row r="69" spans="1:25" ht="81.75" customHeight="1">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1.5</v>
      </c>
      <c r="W69" s="117"/>
      <c r="X69" s="117">
        <f t="shared" si="2"/>
        <v>1.5</v>
      </c>
      <c r="Y69" s="135" t="s">
        <v>962</v>
      </c>
    </row>
    <row r="70" spans="1:25" ht="204.75">
      <c r="A70" s="469"/>
      <c r="B70" s="476" t="s">
        <v>108</v>
      </c>
      <c r="C70" s="476" t="s">
        <v>109</v>
      </c>
      <c r="D70" s="106">
        <v>64</v>
      </c>
      <c r="E70" s="106" t="s">
        <v>110</v>
      </c>
      <c r="F70" s="120"/>
      <c r="G70" s="120"/>
      <c r="H70" s="120"/>
      <c r="I70" s="121"/>
      <c r="J70" s="125">
        <f t="shared" si="4"/>
        <v>0</v>
      </c>
      <c r="K70" s="122"/>
      <c r="L70" s="122">
        <v>0</v>
      </c>
      <c r="M70" s="120"/>
      <c r="N70" s="120"/>
      <c r="O70" s="122">
        <v>0.72</v>
      </c>
      <c r="P70" s="117">
        <f t="shared" si="5"/>
        <v>0.72</v>
      </c>
      <c r="Q70" s="166"/>
      <c r="R70" s="120">
        <v>0</v>
      </c>
      <c r="S70" s="122"/>
      <c r="T70" s="122">
        <v>2</v>
      </c>
      <c r="U70" s="137"/>
      <c r="V70" s="121">
        <v>0</v>
      </c>
      <c r="W70" s="117"/>
      <c r="X70" s="117">
        <f t="shared" si="2"/>
        <v>2.7199999999999998</v>
      </c>
      <c r="Y70" s="135" t="s">
        <v>1051</v>
      </c>
    </row>
    <row r="71" spans="1:25" ht="29.25" customHeight="1">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135" t="s">
        <v>1052</v>
      </c>
    </row>
    <row r="72" spans="1:25" ht="126">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20"/>
      <c r="V72" s="120">
        <v>0</v>
      </c>
      <c r="W72" s="117"/>
      <c r="X72" s="117">
        <f t="shared" si="2"/>
        <v>0.09</v>
      </c>
      <c r="Y72" s="135" t="s">
        <v>1053</v>
      </c>
    </row>
    <row r="73" spans="1:25" ht="189">
      <c r="A73" s="469"/>
      <c r="B73" s="469"/>
      <c r="C73" s="469"/>
      <c r="D73" s="106">
        <v>67</v>
      </c>
      <c r="E73" s="106" t="s">
        <v>113</v>
      </c>
      <c r="F73" s="120"/>
      <c r="G73" s="120"/>
      <c r="H73" s="120"/>
      <c r="I73" s="120"/>
      <c r="J73" s="116">
        <f t="shared" si="4"/>
        <v>0</v>
      </c>
      <c r="K73" s="120"/>
      <c r="L73" s="120"/>
      <c r="M73" s="120"/>
      <c r="N73" s="120"/>
      <c r="O73" s="122"/>
      <c r="P73" s="117">
        <f t="shared" si="5"/>
        <v>0</v>
      </c>
      <c r="Q73" s="120"/>
      <c r="R73" s="120"/>
      <c r="S73" s="121"/>
      <c r="T73" s="121">
        <v>68.47</v>
      </c>
      <c r="U73" s="121"/>
      <c r="V73" s="121">
        <v>1.5</v>
      </c>
      <c r="W73" s="117"/>
      <c r="X73" s="117">
        <f t="shared" si="2"/>
        <v>69.97</v>
      </c>
      <c r="Y73" s="135" t="s">
        <v>1062</v>
      </c>
    </row>
    <row r="74" spans="1:25" ht="94.5">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2.97</v>
      </c>
      <c r="U74" s="121"/>
      <c r="V74" s="121">
        <v>1.4</v>
      </c>
      <c r="W74" s="117"/>
      <c r="X74" s="117">
        <f t="shared" si="2"/>
        <v>4.37</v>
      </c>
      <c r="Y74" s="135" t="s">
        <v>1063</v>
      </c>
    </row>
    <row r="75" spans="1:25" ht="409.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40"/>
      <c r="T75" s="140">
        <f>3+96.6+4.83+1.84+1.449+0.483+2.3+7.1</f>
        <v>117.60199999999999</v>
      </c>
      <c r="U75" s="138"/>
      <c r="V75" s="138"/>
      <c r="W75" s="117"/>
      <c r="X75" s="117">
        <f t="shared" si="2"/>
        <v>117.80199999999999</v>
      </c>
      <c r="Y75" s="224" t="s">
        <v>1044</v>
      </c>
    </row>
    <row r="76" spans="1:25" ht="60" customHeight="1">
      <c r="A76" s="469"/>
      <c r="B76" s="469"/>
      <c r="C76" s="469"/>
      <c r="D76" s="106">
        <v>70</v>
      </c>
      <c r="E76" s="106" t="s">
        <v>118</v>
      </c>
      <c r="F76" s="140"/>
      <c r="G76" s="138"/>
      <c r="H76" s="138"/>
      <c r="I76" s="138"/>
      <c r="J76" s="116">
        <f t="shared" si="4"/>
        <v>0</v>
      </c>
      <c r="K76" s="142"/>
      <c r="L76" s="142">
        <v>0.122</v>
      </c>
      <c r="M76" s="138"/>
      <c r="N76" s="138"/>
      <c r="O76" s="138"/>
      <c r="P76" s="116">
        <f t="shared" si="5"/>
        <v>0</v>
      </c>
      <c r="Q76" s="138"/>
      <c r="R76" s="138"/>
      <c r="S76" s="140"/>
      <c r="T76" s="140">
        <v>1.1000000000000001</v>
      </c>
      <c r="U76" s="138"/>
      <c r="V76" s="138"/>
      <c r="W76" s="117"/>
      <c r="X76" s="117">
        <f t="shared" si="2"/>
        <v>1.222</v>
      </c>
      <c r="Y76" s="224" t="s">
        <v>919</v>
      </c>
    </row>
    <row r="77" spans="1:25" ht="15.75">
      <c r="A77" s="469"/>
      <c r="B77" s="469"/>
      <c r="C77" s="469"/>
      <c r="D77" s="106">
        <v>71</v>
      </c>
      <c r="E77" s="106" t="s">
        <v>119</v>
      </c>
      <c r="F77" s="138"/>
      <c r="G77" s="138"/>
      <c r="H77" s="138"/>
      <c r="I77" s="138"/>
      <c r="J77" s="116">
        <f t="shared" si="4"/>
        <v>0</v>
      </c>
      <c r="K77" s="138"/>
      <c r="L77" s="138"/>
      <c r="M77" s="138"/>
      <c r="N77" s="138"/>
      <c r="O77" s="138"/>
      <c r="P77" s="116">
        <f t="shared" si="5"/>
        <v>0</v>
      </c>
      <c r="Q77" s="138"/>
      <c r="R77" s="138"/>
      <c r="S77" s="138"/>
      <c r="T77" s="138"/>
      <c r="U77" s="138"/>
      <c r="V77" s="138"/>
      <c r="W77" s="117"/>
      <c r="X77" s="117">
        <f t="shared" si="2"/>
        <v>0</v>
      </c>
      <c r="Y77" s="135"/>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v>0</v>
      </c>
      <c r="W78" s="117"/>
      <c r="X78" s="117">
        <f t="shared" si="2"/>
        <v>0</v>
      </c>
      <c r="Y78" s="135"/>
    </row>
    <row r="79" spans="1:25" ht="409.5">
      <c r="A79" s="469"/>
      <c r="B79" s="476" t="s">
        <v>121</v>
      </c>
      <c r="C79" s="476" t="s">
        <v>122</v>
      </c>
      <c r="D79" s="106">
        <v>73</v>
      </c>
      <c r="E79" s="106" t="s">
        <v>123</v>
      </c>
      <c r="F79" s="147">
        <v>3.5</v>
      </c>
      <c r="G79" s="147"/>
      <c r="H79" s="147"/>
      <c r="I79" s="143">
        <v>0.4</v>
      </c>
      <c r="J79" s="148">
        <f t="shared" si="4"/>
        <v>0.4</v>
      </c>
      <c r="K79" s="147"/>
      <c r="L79" s="147">
        <v>2.2999999999999998</v>
      </c>
      <c r="M79" s="147"/>
      <c r="N79" s="147"/>
      <c r="O79" s="147">
        <v>3.8</v>
      </c>
      <c r="P79" s="149">
        <f>O79</f>
        <v>3.8</v>
      </c>
      <c r="Q79" s="147"/>
      <c r="R79" s="147">
        <v>12</v>
      </c>
      <c r="S79" s="147"/>
      <c r="T79" s="147">
        <v>1.2</v>
      </c>
      <c r="U79" s="147"/>
      <c r="V79" s="147">
        <v>0.5</v>
      </c>
      <c r="W79" s="117"/>
      <c r="X79" s="117">
        <f t="shared" si="2"/>
        <v>23.7</v>
      </c>
      <c r="Y79" s="97" t="s">
        <v>1109</v>
      </c>
    </row>
    <row r="80" spans="1:25" ht="78.75">
      <c r="A80" s="469"/>
      <c r="B80" s="469"/>
      <c r="C80" s="469"/>
      <c r="D80" s="106">
        <v>74</v>
      </c>
      <c r="E80" s="106" t="s">
        <v>124</v>
      </c>
      <c r="F80" s="147">
        <v>79</v>
      </c>
      <c r="G80" s="147"/>
      <c r="H80" s="147"/>
      <c r="I80" s="150"/>
      <c r="J80" s="140">
        <v>0</v>
      </c>
      <c r="K80" s="150"/>
      <c r="L80" s="150"/>
      <c r="M80" s="150"/>
      <c r="N80" s="150"/>
      <c r="O80" s="150"/>
      <c r="P80" s="140"/>
      <c r="Q80" s="150"/>
      <c r="R80" s="150"/>
      <c r="S80" s="150"/>
      <c r="T80" s="150"/>
      <c r="U80" s="150"/>
      <c r="V80" s="150"/>
      <c r="W80" s="117"/>
      <c r="X80" s="117">
        <f t="shared" si="2"/>
        <v>79</v>
      </c>
      <c r="Y80" s="97" t="s">
        <v>1110</v>
      </c>
    </row>
    <row r="81" spans="1:25" ht="252">
      <c r="A81" s="469"/>
      <c r="B81" s="469"/>
      <c r="C81" s="469"/>
      <c r="D81" s="106">
        <v>75</v>
      </c>
      <c r="E81" s="106" t="s">
        <v>125</v>
      </c>
      <c r="F81" s="147">
        <v>2.8</v>
      </c>
      <c r="G81" s="147"/>
      <c r="H81" s="147"/>
      <c r="I81" s="150"/>
      <c r="J81" s="140">
        <v>0</v>
      </c>
      <c r="K81" s="150"/>
      <c r="L81" s="150"/>
      <c r="M81" s="150"/>
      <c r="N81" s="150"/>
      <c r="O81" s="150"/>
      <c r="P81" s="140">
        <v>0</v>
      </c>
      <c r="Q81" s="150"/>
      <c r="R81" s="150"/>
      <c r="S81" s="147"/>
      <c r="T81" s="147">
        <v>2.6</v>
      </c>
      <c r="U81" s="150"/>
      <c r="V81" s="150"/>
      <c r="W81" s="117"/>
      <c r="X81" s="117">
        <f t="shared" si="2"/>
        <v>5.4</v>
      </c>
      <c r="Y81" s="97" t="s">
        <v>1111</v>
      </c>
    </row>
    <row r="82" spans="1:25" ht="47.25" customHeight="1">
      <c r="A82" s="469"/>
      <c r="B82" s="469"/>
      <c r="C82" s="469"/>
      <c r="D82" s="106">
        <v>76</v>
      </c>
      <c r="E82" s="106" t="s">
        <v>126</v>
      </c>
      <c r="F82" s="150">
        <v>2.5</v>
      </c>
      <c r="G82" s="150"/>
      <c r="H82" s="150"/>
      <c r="I82" s="150"/>
      <c r="J82" s="140">
        <v>0</v>
      </c>
      <c r="K82" s="150"/>
      <c r="L82" s="150"/>
      <c r="M82" s="150"/>
      <c r="N82" s="150"/>
      <c r="O82" s="147"/>
      <c r="P82" s="140">
        <v>0</v>
      </c>
      <c r="Q82" s="147"/>
      <c r="R82" s="147">
        <v>1.8</v>
      </c>
      <c r="S82" s="150"/>
      <c r="T82" s="150"/>
      <c r="U82" s="150"/>
      <c r="V82" s="150"/>
      <c r="W82" s="117"/>
      <c r="X82" s="117">
        <f t="shared" si="2"/>
        <v>4.3</v>
      </c>
      <c r="Y82" s="97" t="s">
        <v>1112</v>
      </c>
    </row>
    <row r="83" spans="1:25" ht="15" customHeight="1">
      <c r="A83" s="469"/>
      <c r="B83" s="469"/>
      <c r="C83" s="469"/>
      <c r="D83" s="106">
        <v>77</v>
      </c>
      <c r="E83" s="106" t="s">
        <v>127</v>
      </c>
      <c r="F83" s="147">
        <v>0.6</v>
      </c>
      <c r="G83" s="147"/>
      <c r="H83" s="147"/>
      <c r="I83" s="147">
        <v>0.25</v>
      </c>
      <c r="J83" s="149">
        <f>I83</f>
        <v>0.25</v>
      </c>
      <c r="K83" s="147"/>
      <c r="L83" s="147">
        <v>4.7</v>
      </c>
      <c r="M83" s="150"/>
      <c r="N83" s="150"/>
      <c r="O83" s="147">
        <v>1.3</v>
      </c>
      <c r="P83" s="140">
        <v>1.3</v>
      </c>
      <c r="Q83" s="147"/>
      <c r="R83" s="147"/>
      <c r="S83" s="150"/>
      <c r="T83" s="150"/>
      <c r="U83" s="147"/>
      <c r="V83" s="147">
        <v>0</v>
      </c>
      <c r="W83" s="117"/>
      <c r="X83" s="117">
        <f t="shared" si="2"/>
        <v>6.85</v>
      </c>
      <c r="Y83" s="97" t="s">
        <v>1113</v>
      </c>
    </row>
    <row r="84" spans="1:25" ht="31.5">
      <c r="A84" s="469"/>
      <c r="B84" s="469"/>
      <c r="C84" s="469"/>
      <c r="D84" s="106">
        <v>78</v>
      </c>
      <c r="E84" s="106" t="s">
        <v>128</v>
      </c>
      <c r="F84" s="150"/>
      <c r="G84" s="150"/>
      <c r="H84" s="150"/>
      <c r="I84" s="150"/>
      <c r="J84" s="116">
        <f t="shared" ref="J84:J92" si="6">H84+I84</f>
        <v>0</v>
      </c>
      <c r="K84" s="150"/>
      <c r="L84" s="150"/>
      <c r="M84" s="150"/>
      <c r="N84" s="150"/>
      <c r="O84" s="150"/>
      <c r="P84" s="116">
        <f t="shared" ref="P84:P92" si="7">N84+O84</f>
        <v>0</v>
      </c>
      <c r="Q84" s="150"/>
      <c r="R84" s="150"/>
      <c r="S84" s="150"/>
      <c r="T84" s="150"/>
      <c r="U84" s="150"/>
      <c r="V84" s="150"/>
      <c r="W84" s="117"/>
      <c r="X84" s="117">
        <f t="shared" si="2"/>
        <v>0</v>
      </c>
      <c r="Y84" s="97"/>
    </row>
    <row r="85" spans="1:25" ht="15" hidden="1" customHeight="1">
      <c r="A85" s="469"/>
      <c r="B85" s="469"/>
      <c r="C85" s="469"/>
      <c r="D85" s="106">
        <v>79</v>
      </c>
      <c r="E85" s="106" t="s">
        <v>44</v>
      </c>
      <c r="F85" s="151"/>
      <c r="G85" s="151"/>
      <c r="H85" s="151"/>
      <c r="I85" s="151"/>
      <c r="J85" s="116">
        <f t="shared" si="6"/>
        <v>0</v>
      </c>
      <c r="K85" s="151"/>
      <c r="L85" s="151"/>
      <c r="M85" s="151"/>
      <c r="N85" s="151"/>
      <c r="O85" s="151"/>
      <c r="P85" s="116">
        <f t="shared" si="7"/>
        <v>0</v>
      </c>
      <c r="Q85" s="151"/>
      <c r="R85" s="151"/>
      <c r="S85" s="151"/>
      <c r="T85" s="151"/>
      <c r="U85" s="151"/>
      <c r="V85" s="151"/>
      <c r="W85" s="117"/>
      <c r="X85" s="117">
        <f t="shared" si="2"/>
        <v>0</v>
      </c>
      <c r="Y85" s="97"/>
    </row>
    <row r="86" spans="1:25" ht="15.75">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7"/>
    </row>
    <row r="87" spans="1:25" ht="31.5">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c r="U87" s="120"/>
      <c r="V87" s="120"/>
      <c r="W87" s="117"/>
      <c r="X87" s="117">
        <f t="shared" si="2"/>
        <v>0</v>
      </c>
      <c r="Y87" s="97"/>
    </row>
    <row r="88" spans="1:25" ht="47.25">
      <c r="A88" s="469"/>
      <c r="B88" s="469"/>
      <c r="C88" s="469"/>
      <c r="D88" s="106">
        <v>82</v>
      </c>
      <c r="E88" s="223" t="s">
        <v>133</v>
      </c>
      <c r="F88" s="120"/>
      <c r="G88" s="120"/>
      <c r="H88" s="120"/>
      <c r="I88" s="120"/>
      <c r="J88" s="116">
        <f t="shared" si="6"/>
        <v>0</v>
      </c>
      <c r="K88" s="120"/>
      <c r="L88" s="120"/>
      <c r="M88" s="120"/>
      <c r="N88" s="120"/>
      <c r="O88" s="120"/>
      <c r="P88" s="116">
        <f t="shared" si="7"/>
        <v>0</v>
      </c>
      <c r="Q88" s="120"/>
      <c r="R88" s="120"/>
      <c r="S88" s="121"/>
      <c r="T88" s="121">
        <v>0.14000000000000001</v>
      </c>
      <c r="U88" s="120"/>
      <c r="V88" s="120"/>
      <c r="W88" s="117"/>
      <c r="X88" s="117">
        <f t="shared" si="2"/>
        <v>0.14000000000000001</v>
      </c>
      <c r="Y88" s="250" t="s">
        <v>955</v>
      </c>
    </row>
    <row r="89" spans="1:25" ht="31.5">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v>0</v>
      </c>
      <c r="U89" s="120"/>
      <c r="V89" s="120"/>
      <c r="W89" s="117"/>
      <c r="X89" s="117">
        <f t="shared" si="2"/>
        <v>0.5</v>
      </c>
      <c r="Y89" s="97" t="s">
        <v>956</v>
      </c>
    </row>
    <row r="90" spans="1:25" ht="94.5">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v>0</v>
      </c>
      <c r="W90" s="117"/>
      <c r="X90" s="117">
        <f t="shared" si="2"/>
        <v>0</v>
      </c>
      <c r="Y90" s="97"/>
    </row>
    <row r="91" spans="1:25" ht="141.7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7"/>
    </row>
    <row r="92" spans="1:25" ht="110.2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7" t="s">
        <v>374</v>
      </c>
    </row>
    <row r="93" spans="1:25" ht="39" customHeight="1">
      <c r="A93" s="469"/>
      <c r="B93" s="476" t="s">
        <v>143</v>
      </c>
      <c r="C93" s="469"/>
      <c r="D93" s="469"/>
      <c r="E93" s="106"/>
      <c r="F93" s="102">
        <f t="shared" ref="F93:W93" si="8">SUM(F69:F92)</f>
        <v>88.399999999999991</v>
      </c>
      <c r="G93" s="102">
        <f t="shared" si="8"/>
        <v>0</v>
      </c>
      <c r="H93" s="102">
        <f t="shared" si="8"/>
        <v>0</v>
      </c>
      <c r="I93" s="102">
        <f t="shared" si="8"/>
        <v>0.65</v>
      </c>
      <c r="J93" s="102">
        <f t="shared" si="8"/>
        <v>0.65</v>
      </c>
      <c r="K93" s="102">
        <f t="shared" si="8"/>
        <v>0</v>
      </c>
      <c r="L93" s="102">
        <f t="shared" si="8"/>
        <v>7.1219999999999999</v>
      </c>
      <c r="M93" s="102">
        <f t="shared" si="8"/>
        <v>0</v>
      </c>
      <c r="N93" s="102">
        <f t="shared" si="8"/>
        <v>0</v>
      </c>
      <c r="O93" s="102">
        <f t="shared" si="8"/>
        <v>6.3199999999999994</v>
      </c>
      <c r="P93" s="102">
        <f t="shared" si="8"/>
        <v>6.3199999999999994</v>
      </c>
      <c r="Q93" s="102">
        <f t="shared" si="8"/>
        <v>0</v>
      </c>
      <c r="R93" s="102">
        <f t="shared" si="8"/>
        <v>14</v>
      </c>
      <c r="S93" s="102">
        <f t="shared" si="8"/>
        <v>0</v>
      </c>
      <c r="T93" s="102">
        <f t="shared" si="8"/>
        <v>196.42199999999997</v>
      </c>
      <c r="U93" s="102">
        <f t="shared" si="8"/>
        <v>0</v>
      </c>
      <c r="V93" s="102">
        <f t="shared" si="8"/>
        <v>4.9000000000000004</v>
      </c>
      <c r="W93" s="102">
        <f t="shared" si="8"/>
        <v>0</v>
      </c>
      <c r="X93" s="102">
        <f t="shared" si="2"/>
        <v>317.81399999999996</v>
      </c>
      <c r="Y93" s="251"/>
    </row>
    <row r="94" spans="1:25" ht="110.25">
      <c r="A94" s="477" t="s">
        <v>144</v>
      </c>
      <c r="B94" s="476" t="s">
        <v>145</v>
      </c>
      <c r="C94" s="476" t="s">
        <v>146</v>
      </c>
      <c r="D94" s="106">
        <v>87</v>
      </c>
      <c r="E94" s="106" t="s">
        <v>147</v>
      </c>
      <c r="F94" s="155"/>
      <c r="G94" s="155"/>
      <c r="H94" s="155"/>
      <c r="I94" s="155"/>
      <c r="J94" s="116">
        <f t="shared" ref="J94:J133" si="9">H94+I94</f>
        <v>0</v>
      </c>
      <c r="K94" s="155"/>
      <c r="L94" s="155"/>
      <c r="M94" s="155"/>
      <c r="N94" s="155"/>
      <c r="O94" s="122">
        <v>22</v>
      </c>
      <c r="P94" s="117">
        <f t="shared" ref="P94:P133" si="10">N94+O94</f>
        <v>22</v>
      </c>
      <c r="Q94" s="155"/>
      <c r="R94" s="155"/>
      <c r="S94" s="155"/>
      <c r="T94" s="155"/>
      <c r="U94" s="155"/>
      <c r="V94" s="155"/>
      <c r="W94" s="117"/>
      <c r="X94" s="117">
        <f t="shared" si="2"/>
        <v>22</v>
      </c>
      <c r="Y94" s="225" t="s">
        <v>612</v>
      </c>
    </row>
    <row r="95" spans="1:25" ht="47.25">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f>10+15</f>
        <v>25</v>
      </c>
      <c r="U95" s="155"/>
      <c r="V95" s="155"/>
      <c r="W95" s="117"/>
      <c r="X95" s="117">
        <f t="shared" si="2"/>
        <v>25</v>
      </c>
      <c r="Y95" s="225" t="s">
        <v>1156</v>
      </c>
    </row>
    <row r="96" spans="1:25" ht="47.2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225"/>
    </row>
    <row r="97" spans="1:25" ht="220.5">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343">
        <v>3.25</v>
      </c>
      <c r="U97" s="155"/>
      <c r="V97" s="155"/>
      <c r="W97" s="117"/>
      <c r="X97" s="117">
        <f t="shared" si="2"/>
        <v>3.25</v>
      </c>
      <c r="Y97" s="225" t="s">
        <v>613</v>
      </c>
    </row>
    <row r="98" spans="1:25" ht="31.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226"/>
    </row>
    <row r="99" spans="1:25" ht="78.7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v>16</v>
      </c>
      <c r="U99" s="155"/>
      <c r="V99" s="155"/>
      <c r="W99" s="117"/>
      <c r="X99" s="117">
        <f t="shared" si="2"/>
        <v>16</v>
      </c>
      <c r="Y99" s="231" t="s">
        <v>614</v>
      </c>
    </row>
    <row r="100" spans="1:25" ht="78.75">
      <c r="A100" s="469"/>
      <c r="B100" s="469"/>
      <c r="C100" s="469"/>
      <c r="D100" s="106">
        <v>93</v>
      </c>
      <c r="E100" s="106" t="s">
        <v>153</v>
      </c>
      <c r="F100" s="155"/>
      <c r="G100" s="155"/>
      <c r="H100" s="155"/>
      <c r="I100" s="155"/>
      <c r="J100" s="116">
        <f t="shared" si="9"/>
        <v>0</v>
      </c>
      <c r="K100" s="158"/>
      <c r="L100" s="158">
        <v>8.75</v>
      </c>
      <c r="M100" s="155"/>
      <c r="N100" s="155"/>
      <c r="O100" s="155"/>
      <c r="P100" s="116">
        <f t="shared" si="10"/>
        <v>0</v>
      </c>
      <c r="Q100" s="155"/>
      <c r="R100" s="155"/>
      <c r="S100" s="155"/>
      <c r="T100" s="155"/>
      <c r="U100" s="155"/>
      <c r="V100" s="155"/>
      <c r="W100" s="117"/>
      <c r="X100" s="117">
        <f t="shared" si="2"/>
        <v>8.75</v>
      </c>
      <c r="Y100" s="227" t="s">
        <v>615</v>
      </c>
    </row>
    <row r="101" spans="1:25" ht="78.75">
      <c r="A101" s="469"/>
      <c r="B101" s="469"/>
      <c r="C101" s="469"/>
      <c r="D101" s="106">
        <v>94</v>
      </c>
      <c r="E101" s="106" t="s">
        <v>154</v>
      </c>
      <c r="F101" s="155"/>
      <c r="G101" s="155"/>
      <c r="H101" s="155"/>
      <c r="I101" s="155"/>
      <c r="J101" s="116">
        <f t="shared" si="9"/>
        <v>0</v>
      </c>
      <c r="K101" s="158"/>
      <c r="L101" s="158">
        <v>8.75</v>
      </c>
      <c r="M101" s="155"/>
      <c r="N101" s="155"/>
      <c r="O101" s="155"/>
      <c r="P101" s="116">
        <f t="shared" si="10"/>
        <v>0</v>
      </c>
      <c r="Q101" s="155"/>
      <c r="R101" s="155"/>
      <c r="S101" s="155"/>
      <c r="T101" s="155"/>
      <c r="U101" s="155"/>
      <c r="V101" s="155"/>
      <c r="W101" s="117"/>
      <c r="X101" s="117">
        <f t="shared" si="2"/>
        <v>8.75</v>
      </c>
      <c r="Y101" s="231" t="s">
        <v>616</v>
      </c>
    </row>
    <row r="102" spans="1:25" ht="63">
      <c r="A102" s="469"/>
      <c r="B102" s="469"/>
      <c r="C102" s="469"/>
      <c r="D102" s="106">
        <v>95</v>
      </c>
      <c r="E102" s="106" t="s">
        <v>155</v>
      </c>
      <c r="F102" s="155"/>
      <c r="G102" s="155"/>
      <c r="H102" s="155"/>
      <c r="I102" s="158"/>
      <c r="J102" s="125">
        <f t="shared" si="9"/>
        <v>0</v>
      </c>
      <c r="K102" s="122"/>
      <c r="L102" s="122"/>
      <c r="M102" s="155"/>
      <c r="N102" s="155"/>
      <c r="O102" s="155"/>
      <c r="P102" s="116">
        <f t="shared" si="10"/>
        <v>0</v>
      </c>
      <c r="Q102" s="155"/>
      <c r="R102" s="155"/>
      <c r="S102" s="155"/>
      <c r="T102" s="155"/>
      <c r="U102" s="155"/>
      <c r="V102" s="155"/>
      <c r="W102" s="117"/>
      <c r="X102" s="117">
        <f t="shared" si="2"/>
        <v>0</v>
      </c>
      <c r="Y102" s="97"/>
    </row>
    <row r="103" spans="1:25" ht="63">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1</v>
      </c>
      <c r="U103" s="155"/>
      <c r="V103" s="155"/>
      <c r="W103" s="117"/>
      <c r="X103" s="117">
        <f t="shared" si="2"/>
        <v>1</v>
      </c>
      <c r="Y103" s="97" t="s">
        <v>157</v>
      </c>
    </row>
    <row r="104" spans="1:25" ht="126">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11.6</v>
      </c>
      <c r="U104" s="140"/>
      <c r="V104" s="140"/>
      <c r="W104" s="117"/>
      <c r="X104" s="117">
        <f t="shared" si="2"/>
        <v>11.6</v>
      </c>
      <c r="Y104" s="135" t="s">
        <v>647</v>
      </c>
    </row>
    <row r="105" spans="1:25" ht="78.75">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15.7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t="s">
        <v>164</v>
      </c>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94.5">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6.6</v>
      </c>
      <c r="U109" s="140"/>
      <c r="V109" s="140"/>
      <c r="W109" s="117"/>
      <c r="X109" s="117">
        <f t="shared" si="2"/>
        <v>6.6</v>
      </c>
      <c r="Y109" s="97" t="s">
        <v>651</v>
      </c>
    </row>
    <row r="110" spans="1:25" ht="31.5" hidden="1">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135"/>
    </row>
    <row r="112" spans="1:25" ht="15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15.7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135"/>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31.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15.7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252"/>
    </row>
    <row r="121" spans="1:25" ht="33.75" customHeight="1">
      <c r="A121" s="469"/>
      <c r="B121" s="106" t="s">
        <v>183</v>
      </c>
      <c r="C121" s="106" t="s">
        <v>184</v>
      </c>
      <c r="D121" s="106">
        <v>114</v>
      </c>
      <c r="E121" s="106" t="s">
        <v>185</v>
      </c>
      <c r="F121" s="140"/>
      <c r="G121" s="140"/>
      <c r="H121" s="140"/>
      <c r="I121" s="161">
        <v>10</v>
      </c>
      <c r="J121" s="125">
        <f t="shared" si="9"/>
        <v>10</v>
      </c>
      <c r="K121" s="140"/>
      <c r="L121" s="140">
        <v>1.1000000000000001</v>
      </c>
      <c r="M121" s="140"/>
      <c r="N121" s="140"/>
      <c r="O121" s="140"/>
      <c r="P121" s="116">
        <f t="shared" si="10"/>
        <v>0</v>
      </c>
      <c r="Q121" s="140"/>
      <c r="R121" s="140"/>
      <c r="S121" s="140"/>
      <c r="T121" s="140">
        <v>4</v>
      </c>
      <c r="U121" s="161"/>
      <c r="V121" s="161"/>
      <c r="W121" s="117"/>
      <c r="X121" s="117">
        <f t="shared" si="2"/>
        <v>15.1</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135" t="s">
        <v>636</v>
      </c>
    </row>
    <row r="123" spans="1:25" ht="47.2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10.25</v>
      </c>
      <c r="S123" s="140"/>
      <c r="T123" s="140"/>
      <c r="U123" s="140"/>
      <c r="V123" s="140"/>
      <c r="W123" s="117"/>
      <c r="X123" s="117">
        <f t="shared" si="2"/>
        <v>10.25</v>
      </c>
      <c r="Y123" s="135" t="s">
        <v>652</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7"/>
    </row>
    <row r="125" spans="1:25" ht="31.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7"/>
    </row>
    <row r="126" spans="1:25" ht="94.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61">
        <v>5</v>
      </c>
      <c r="U126" s="140"/>
      <c r="V126" s="140"/>
      <c r="W126" s="117"/>
      <c r="X126" s="117">
        <f t="shared" si="2"/>
        <v>5</v>
      </c>
      <c r="Y126" s="135" t="s">
        <v>638</v>
      </c>
    </row>
    <row r="127" spans="1:25" ht="141.75">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si="10"/>
        <v>0</v>
      </c>
      <c r="Q127" s="161"/>
      <c r="R127" s="161"/>
      <c r="S127" s="161"/>
      <c r="T127" s="161"/>
      <c r="U127" s="140"/>
      <c r="V127" s="140"/>
      <c r="W127" s="117"/>
      <c r="X127" s="117">
        <f t="shared" si="2"/>
        <v>0</v>
      </c>
      <c r="Y127" s="97"/>
    </row>
    <row r="128" spans="1:25" ht="15.7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0"/>
        <v>0</v>
      </c>
      <c r="Q128" s="140"/>
      <c r="R128" s="140"/>
      <c r="S128" s="140"/>
      <c r="T128" s="140"/>
      <c r="U128" s="140"/>
      <c r="V128" s="140"/>
      <c r="W128" s="117"/>
      <c r="X128" s="117">
        <f t="shared" si="2"/>
        <v>0</v>
      </c>
      <c r="Y128" s="135"/>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0"/>
        <v>0</v>
      </c>
      <c r="Q129" s="140"/>
      <c r="R129" s="140"/>
      <c r="S129" s="140"/>
      <c r="T129" s="140"/>
      <c r="U129" s="140"/>
      <c r="V129" s="140"/>
      <c r="W129" s="117"/>
      <c r="X129" s="117">
        <f t="shared" si="2"/>
        <v>0</v>
      </c>
      <c r="Y129" s="135"/>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0"/>
        <v>0</v>
      </c>
      <c r="Q130" s="140"/>
      <c r="R130" s="140"/>
      <c r="S130" s="161"/>
      <c r="T130" s="161"/>
      <c r="U130" s="140"/>
      <c r="V130" s="140"/>
      <c r="W130" s="117"/>
      <c r="X130" s="117">
        <f t="shared" si="2"/>
        <v>0</v>
      </c>
      <c r="Y130" s="98"/>
    </row>
    <row r="131" spans="1:25" ht="15.7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0"/>
        <v>0</v>
      </c>
      <c r="Q131" s="140"/>
      <c r="R131" s="140"/>
      <c r="S131" s="140"/>
      <c r="T131" s="140"/>
      <c r="U131" s="140"/>
      <c r="V131" s="140"/>
      <c r="W131" s="117"/>
      <c r="X131" s="117">
        <f t="shared" si="2"/>
        <v>0</v>
      </c>
      <c r="Y131" s="252"/>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0"/>
        <v>0</v>
      </c>
      <c r="Q132" s="140"/>
      <c r="R132" s="140"/>
      <c r="S132" s="140"/>
      <c r="T132" s="140"/>
      <c r="U132" s="140"/>
      <c r="V132" s="140"/>
      <c r="W132" s="117"/>
      <c r="X132" s="117">
        <f t="shared" si="2"/>
        <v>0</v>
      </c>
      <c r="Y132" s="252"/>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0"/>
        <v>0</v>
      </c>
      <c r="Q133" s="120"/>
      <c r="R133" s="120"/>
      <c r="S133" s="120"/>
      <c r="T133" s="120"/>
      <c r="U133" s="120"/>
      <c r="V133" s="120"/>
      <c r="W133" s="117"/>
      <c r="X133" s="117">
        <f t="shared" si="2"/>
        <v>0</v>
      </c>
      <c r="Y133" s="97"/>
    </row>
    <row r="134" spans="1:25" ht="26.25" customHeight="1">
      <c r="A134" s="469"/>
      <c r="B134" s="476" t="s">
        <v>208</v>
      </c>
      <c r="C134" s="469"/>
      <c r="D134" s="469"/>
      <c r="E134" s="106"/>
      <c r="F134" s="100">
        <f t="shared" ref="F134:W134" si="11">SUM(F94:F133)</f>
        <v>0</v>
      </c>
      <c r="G134" s="100">
        <f t="shared" si="11"/>
        <v>0</v>
      </c>
      <c r="H134" s="100">
        <f t="shared" si="11"/>
        <v>0</v>
      </c>
      <c r="I134" s="100">
        <f t="shared" si="11"/>
        <v>10</v>
      </c>
      <c r="J134" s="100">
        <f t="shared" si="11"/>
        <v>10</v>
      </c>
      <c r="K134" s="100">
        <f t="shared" si="11"/>
        <v>0</v>
      </c>
      <c r="L134" s="100">
        <f t="shared" si="11"/>
        <v>19.600000000000001</v>
      </c>
      <c r="M134" s="100">
        <f t="shared" si="11"/>
        <v>0</v>
      </c>
      <c r="N134" s="100">
        <f t="shared" si="11"/>
        <v>0</v>
      </c>
      <c r="O134" s="102">
        <f t="shared" si="11"/>
        <v>22</v>
      </c>
      <c r="P134" s="102">
        <f t="shared" si="11"/>
        <v>22</v>
      </c>
      <c r="Q134" s="100">
        <f t="shared" si="11"/>
        <v>0</v>
      </c>
      <c r="R134" s="100">
        <f t="shared" si="11"/>
        <v>10.25</v>
      </c>
      <c r="S134" s="100">
        <f t="shared" si="11"/>
        <v>0</v>
      </c>
      <c r="T134" s="100">
        <f t="shared" si="11"/>
        <v>76.31</v>
      </c>
      <c r="U134" s="100">
        <f t="shared" si="11"/>
        <v>0</v>
      </c>
      <c r="V134" s="100">
        <f t="shared" si="11"/>
        <v>0</v>
      </c>
      <c r="W134" s="102">
        <f t="shared" si="11"/>
        <v>0</v>
      </c>
      <c r="X134" s="100">
        <f t="shared" si="2"/>
        <v>138.16</v>
      </c>
      <c r="Y134" s="253"/>
    </row>
    <row r="135" spans="1:25" ht="63">
      <c r="A135" s="477" t="s">
        <v>209</v>
      </c>
      <c r="B135" s="476" t="s">
        <v>210</v>
      </c>
      <c r="C135" s="476" t="s">
        <v>211</v>
      </c>
      <c r="D135" s="106">
        <v>127</v>
      </c>
      <c r="E135" s="106" t="s">
        <v>212</v>
      </c>
      <c r="F135" s="120"/>
      <c r="G135" s="120"/>
      <c r="H135" s="120"/>
      <c r="I135" s="120"/>
      <c r="J135" s="116">
        <f t="shared" ref="J135:J157" si="12">H135+I135</f>
        <v>0</v>
      </c>
      <c r="K135" s="120"/>
      <c r="L135" s="120"/>
      <c r="M135" s="120"/>
      <c r="N135" s="120"/>
      <c r="O135" s="120"/>
      <c r="P135" s="116">
        <f t="shared" ref="P135:P157" si="13">N135+O135</f>
        <v>0</v>
      </c>
      <c r="Q135" s="120"/>
      <c r="R135" s="120"/>
      <c r="S135" s="120"/>
      <c r="T135" s="120"/>
      <c r="U135" s="120"/>
      <c r="V135" s="120"/>
      <c r="W135" s="117"/>
      <c r="X135" s="117">
        <f t="shared" si="2"/>
        <v>0</v>
      </c>
      <c r="Y135" s="97"/>
    </row>
    <row r="136" spans="1:25" ht="39" customHeight="1">
      <c r="A136" s="469"/>
      <c r="B136" s="469"/>
      <c r="C136" s="469"/>
      <c r="D136" s="106">
        <v>128</v>
      </c>
      <c r="E136" s="106" t="s">
        <v>213</v>
      </c>
      <c r="F136" s="120"/>
      <c r="G136" s="120"/>
      <c r="H136" s="120"/>
      <c r="I136" s="120"/>
      <c r="J136" s="116">
        <f t="shared" si="12"/>
        <v>0</v>
      </c>
      <c r="K136" s="120"/>
      <c r="L136" s="120"/>
      <c r="M136" s="120"/>
      <c r="N136" s="120"/>
      <c r="O136" s="122"/>
      <c r="P136" s="117">
        <f t="shared" si="13"/>
        <v>0</v>
      </c>
      <c r="Q136" s="120"/>
      <c r="R136" s="120"/>
      <c r="S136" s="163"/>
      <c r="T136" s="163"/>
      <c r="U136" s="120"/>
      <c r="V136" s="120"/>
      <c r="W136" s="117"/>
      <c r="X136" s="117">
        <f t="shared" si="2"/>
        <v>0</v>
      </c>
      <c r="Y136" s="135"/>
    </row>
    <row r="137" spans="1:25" ht="31.5">
      <c r="A137" s="469"/>
      <c r="B137" s="106"/>
      <c r="C137" s="106"/>
      <c r="D137" s="106">
        <v>129</v>
      </c>
      <c r="E137" s="106" t="s">
        <v>214</v>
      </c>
      <c r="F137" s="120"/>
      <c r="G137" s="120"/>
      <c r="H137" s="120"/>
      <c r="I137" s="120"/>
      <c r="J137" s="116">
        <f t="shared" si="12"/>
        <v>0</v>
      </c>
      <c r="K137" s="120"/>
      <c r="L137" s="120"/>
      <c r="M137" s="120"/>
      <c r="N137" s="120"/>
      <c r="O137" s="120"/>
      <c r="P137" s="116">
        <f t="shared" si="13"/>
        <v>0</v>
      </c>
      <c r="Q137" s="120"/>
      <c r="R137" s="120"/>
      <c r="S137" s="120"/>
      <c r="T137" s="120"/>
      <c r="U137" s="120"/>
      <c r="V137" s="120"/>
      <c r="W137" s="117"/>
      <c r="X137" s="117">
        <f t="shared" si="2"/>
        <v>0</v>
      </c>
      <c r="Y137" s="97"/>
    </row>
    <row r="138" spans="1:25" ht="47.25">
      <c r="A138" s="469"/>
      <c r="B138" s="476" t="s">
        <v>215</v>
      </c>
      <c r="C138" s="476" t="s">
        <v>216</v>
      </c>
      <c r="D138" s="106">
        <v>130</v>
      </c>
      <c r="E138" s="106" t="s">
        <v>217</v>
      </c>
      <c r="F138" s="120"/>
      <c r="G138" s="120"/>
      <c r="H138" s="120"/>
      <c r="I138" s="120"/>
      <c r="J138" s="116">
        <f t="shared" si="12"/>
        <v>0</v>
      </c>
      <c r="K138" s="120"/>
      <c r="L138" s="120"/>
      <c r="M138" s="120"/>
      <c r="N138" s="120"/>
      <c r="O138" s="120"/>
      <c r="P138" s="116">
        <f t="shared" si="13"/>
        <v>0</v>
      </c>
      <c r="Q138" s="120"/>
      <c r="R138" s="120"/>
      <c r="S138" s="120"/>
      <c r="T138" s="120"/>
      <c r="U138" s="120"/>
      <c r="V138" s="120"/>
      <c r="W138" s="117"/>
      <c r="X138" s="117">
        <f t="shared" si="2"/>
        <v>0</v>
      </c>
      <c r="Y138" s="97"/>
    </row>
    <row r="139" spans="1:25" ht="15.75">
      <c r="A139" s="469"/>
      <c r="B139" s="469"/>
      <c r="C139" s="469"/>
      <c r="D139" s="106">
        <v>131</v>
      </c>
      <c r="E139" s="106" t="s">
        <v>218</v>
      </c>
      <c r="F139" s="120"/>
      <c r="G139" s="120"/>
      <c r="H139" s="120"/>
      <c r="I139" s="120"/>
      <c r="J139" s="116">
        <f t="shared" si="12"/>
        <v>0</v>
      </c>
      <c r="K139" s="120"/>
      <c r="L139" s="120"/>
      <c r="M139" s="120"/>
      <c r="N139" s="120"/>
      <c r="O139" s="120"/>
      <c r="P139" s="116">
        <f t="shared" si="13"/>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2"/>
        <v>0</v>
      </c>
      <c r="K140" s="120"/>
      <c r="L140" s="120"/>
      <c r="M140" s="120"/>
      <c r="N140" s="120"/>
      <c r="O140" s="120"/>
      <c r="P140" s="116">
        <f t="shared" si="13"/>
        <v>0</v>
      </c>
      <c r="Q140" s="120"/>
      <c r="R140" s="120"/>
      <c r="S140" s="120"/>
      <c r="T140" s="120"/>
      <c r="U140" s="120"/>
      <c r="V140" s="120"/>
      <c r="W140" s="117"/>
      <c r="X140" s="117">
        <f t="shared" si="2"/>
        <v>0</v>
      </c>
      <c r="Y140" s="97"/>
    </row>
    <row r="141" spans="1:25" ht="15.75">
      <c r="A141" s="469"/>
      <c r="B141" s="469"/>
      <c r="C141" s="469"/>
      <c r="D141" s="106">
        <v>133</v>
      </c>
      <c r="E141" s="106" t="s">
        <v>220</v>
      </c>
      <c r="F141" s="120"/>
      <c r="G141" s="120"/>
      <c r="H141" s="120"/>
      <c r="I141" s="120"/>
      <c r="J141" s="116">
        <f t="shared" si="12"/>
        <v>0</v>
      </c>
      <c r="K141" s="120"/>
      <c r="L141" s="120"/>
      <c r="M141" s="120"/>
      <c r="N141" s="120"/>
      <c r="O141" s="120"/>
      <c r="P141" s="116">
        <f t="shared" si="13"/>
        <v>0</v>
      </c>
      <c r="Q141" s="120"/>
      <c r="R141" s="120"/>
      <c r="S141" s="120"/>
      <c r="T141" s="120"/>
      <c r="U141" s="120"/>
      <c r="V141" s="120"/>
      <c r="W141" s="117"/>
      <c r="X141" s="117">
        <f t="shared" si="2"/>
        <v>0</v>
      </c>
      <c r="Y141" s="97"/>
    </row>
    <row r="142" spans="1:25" ht="126">
      <c r="A142" s="469"/>
      <c r="B142" s="469"/>
      <c r="C142" s="469"/>
      <c r="D142" s="106">
        <v>134</v>
      </c>
      <c r="E142" s="106" t="s">
        <v>221</v>
      </c>
      <c r="F142" s="120"/>
      <c r="G142" s="120"/>
      <c r="H142" s="120"/>
      <c r="I142" s="120"/>
      <c r="J142" s="116">
        <f t="shared" si="12"/>
        <v>0</v>
      </c>
      <c r="K142" s="120"/>
      <c r="L142" s="120"/>
      <c r="M142" s="120"/>
      <c r="N142" s="120"/>
      <c r="O142" s="120"/>
      <c r="P142" s="116">
        <f t="shared" si="13"/>
        <v>0</v>
      </c>
      <c r="Q142" s="120"/>
      <c r="R142" s="120"/>
      <c r="S142" s="122"/>
      <c r="T142" s="122">
        <f>(16*0.025*12)</f>
        <v>4.8000000000000007</v>
      </c>
      <c r="U142" s="120"/>
      <c r="V142" s="120"/>
      <c r="W142" s="117"/>
      <c r="X142" s="117">
        <f t="shared" si="2"/>
        <v>4.8000000000000007</v>
      </c>
      <c r="Y142" s="254" t="s">
        <v>668</v>
      </c>
    </row>
    <row r="143" spans="1:25" ht="31.5">
      <c r="A143" s="469"/>
      <c r="B143" s="469"/>
      <c r="C143" s="469"/>
      <c r="D143" s="106">
        <v>135</v>
      </c>
      <c r="E143" s="106" t="s">
        <v>223</v>
      </c>
      <c r="F143" s="120"/>
      <c r="G143" s="120"/>
      <c r="H143" s="120"/>
      <c r="I143" s="120"/>
      <c r="J143" s="116">
        <f t="shared" si="12"/>
        <v>0</v>
      </c>
      <c r="K143" s="120"/>
      <c r="L143" s="120"/>
      <c r="M143" s="120"/>
      <c r="N143" s="120"/>
      <c r="O143" s="120"/>
      <c r="P143" s="116">
        <f t="shared" si="13"/>
        <v>0</v>
      </c>
      <c r="Q143" s="120"/>
      <c r="R143" s="120"/>
      <c r="S143" s="120"/>
      <c r="T143" s="120"/>
      <c r="U143" s="120"/>
      <c r="V143" s="120"/>
      <c r="W143" s="117"/>
      <c r="X143" s="117">
        <f t="shared" si="2"/>
        <v>0</v>
      </c>
      <c r="Y143" s="97"/>
    </row>
    <row r="144" spans="1:25" ht="47.25">
      <c r="A144" s="469"/>
      <c r="B144" s="469"/>
      <c r="C144" s="469"/>
      <c r="D144" s="106">
        <v>136</v>
      </c>
      <c r="E144" s="106" t="s">
        <v>224</v>
      </c>
      <c r="F144" s="120"/>
      <c r="G144" s="120"/>
      <c r="H144" s="120"/>
      <c r="I144" s="120"/>
      <c r="J144" s="116">
        <f t="shared" si="12"/>
        <v>0</v>
      </c>
      <c r="K144" s="120"/>
      <c r="L144" s="120"/>
      <c r="M144" s="120"/>
      <c r="N144" s="120"/>
      <c r="O144" s="120"/>
      <c r="P144" s="116">
        <f t="shared" si="13"/>
        <v>0</v>
      </c>
      <c r="Q144" s="120"/>
      <c r="R144" s="120"/>
      <c r="S144" s="122"/>
      <c r="T144" s="122"/>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2"/>
        <v>0</v>
      </c>
      <c r="K145" s="120"/>
      <c r="L145" s="120"/>
      <c r="M145" s="120"/>
      <c r="N145" s="120"/>
      <c r="O145" s="120"/>
      <c r="P145" s="116">
        <f t="shared" si="13"/>
        <v>0</v>
      </c>
      <c r="Q145" s="122"/>
      <c r="R145" s="122"/>
      <c r="S145" s="122"/>
      <c r="T145" s="122"/>
      <c r="U145" s="120"/>
      <c r="V145" s="120"/>
      <c r="W145" s="117"/>
      <c r="X145" s="117">
        <f t="shared" si="2"/>
        <v>0</v>
      </c>
      <c r="Y145" s="135"/>
    </row>
    <row r="146" spans="1:25" ht="31.5">
      <c r="A146" s="469"/>
      <c r="B146" s="469"/>
      <c r="C146" s="469"/>
      <c r="D146" s="106">
        <v>138</v>
      </c>
      <c r="E146" s="106" t="s">
        <v>228</v>
      </c>
      <c r="F146" s="120"/>
      <c r="G146" s="120"/>
      <c r="H146" s="120"/>
      <c r="I146" s="122"/>
      <c r="J146" s="117">
        <f t="shared" si="12"/>
        <v>0</v>
      </c>
      <c r="K146" s="122"/>
      <c r="L146" s="122"/>
      <c r="M146" s="120"/>
      <c r="N146" s="120"/>
      <c r="O146" s="122"/>
      <c r="P146" s="117">
        <f t="shared" si="13"/>
        <v>0</v>
      </c>
      <c r="Q146" s="122"/>
      <c r="R146" s="122"/>
      <c r="S146" s="120"/>
      <c r="T146" s="120"/>
      <c r="U146" s="120"/>
      <c r="V146" s="120"/>
      <c r="W146" s="117"/>
      <c r="X146" s="117">
        <f t="shared" si="2"/>
        <v>0</v>
      </c>
      <c r="Y146" s="135"/>
    </row>
    <row r="147" spans="1:25" ht="63">
      <c r="A147" s="469"/>
      <c r="B147" s="476" t="s">
        <v>229</v>
      </c>
      <c r="C147" s="476" t="s">
        <v>230</v>
      </c>
      <c r="D147" s="106">
        <v>139</v>
      </c>
      <c r="E147" s="106" t="s">
        <v>231</v>
      </c>
      <c r="F147" s="120"/>
      <c r="G147" s="120"/>
      <c r="H147" s="120"/>
      <c r="I147" s="120"/>
      <c r="J147" s="116">
        <f t="shared" si="12"/>
        <v>0</v>
      </c>
      <c r="K147" s="120"/>
      <c r="L147" s="120"/>
      <c r="M147" s="120"/>
      <c r="N147" s="120"/>
      <c r="O147" s="120"/>
      <c r="P147" s="116">
        <f t="shared" si="13"/>
        <v>0</v>
      </c>
      <c r="Q147" s="120"/>
      <c r="R147" s="120"/>
      <c r="S147" s="122"/>
      <c r="T147" s="122">
        <f>6*0.5</f>
        <v>3</v>
      </c>
      <c r="U147" s="120"/>
      <c r="V147" s="120"/>
      <c r="W147" s="117"/>
      <c r="X147" s="117">
        <f t="shared" si="2"/>
        <v>3</v>
      </c>
      <c r="Y147" s="135" t="s">
        <v>669</v>
      </c>
    </row>
    <row r="148" spans="1:25" ht="94.5">
      <c r="A148" s="469"/>
      <c r="B148" s="469"/>
      <c r="C148" s="469"/>
      <c r="D148" s="106">
        <v>140</v>
      </c>
      <c r="E148" s="106" t="s">
        <v>232</v>
      </c>
      <c r="F148" s="120"/>
      <c r="G148" s="120"/>
      <c r="H148" s="120"/>
      <c r="I148" s="120"/>
      <c r="J148" s="116">
        <f t="shared" si="12"/>
        <v>0</v>
      </c>
      <c r="K148" s="120"/>
      <c r="L148" s="120"/>
      <c r="M148" s="120"/>
      <c r="N148" s="120"/>
      <c r="O148" s="120"/>
      <c r="P148" s="116">
        <f t="shared" si="13"/>
        <v>0</v>
      </c>
      <c r="Q148" s="120"/>
      <c r="R148" s="120"/>
      <c r="S148" s="122"/>
      <c r="T148" s="122">
        <v>2.02</v>
      </c>
      <c r="U148" s="120"/>
      <c r="V148" s="120"/>
      <c r="W148" s="117"/>
      <c r="X148" s="117">
        <f t="shared" si="2"/>
        <v>2.02</v>
      </c>
      <c r="Y148" s="234" t="s">
        <v>670</v>
      </c>
    </row>
    <row r="149" spans="1:25" ht="15.75" hidden="1">
      <c r="A149" s="469"/>
      <c r="B149" s="469"/>
      <c r="C149" s="469"/>
      <c r="D149" s="106">
        <v>141</v>
      </c>
      <c r="E149" s="106" t="s">
        <v>233</v>
      </c>
      <c r="F149" s="120"/>
      <c r="G149" s="120"/>
      <c r="H149" s="120"/>
      <c r="I149" s="120"/>
      <c r="J149" s="116">
        <f t="shared" si="12"/>
        <v>0</v>
      </c>
      <c r="K149" s="120"/>
      <c r="L149" s="120"/>
      <c r="M149" s="120"/>
      <c r="N149" s="120"/>
      <c r="O149" s="120"/>
      <c r="P149" s="116">
        <f t="shared" si="13"/>
        <v>0</v>
      </c>
      <c r="Q149" s="120"/>
      <c r="R149" s="120"/>
      <c r="S149" s="120"/>
      <c r="T149" s="120"/>
      <c r="U149" s="120"/>
      <c r="V149" s="120"/>
      <c r="W149" s="117"/>
      <c r="X149" s="117">
        <f t="shared" si="2"/>
        <v>0</v>
      </c>
      <c r="Y149" s="97"/>
    </row>
    <row r="150" spans="1:25" ht="63">
      <c r="A150" s="469"/>
      <c r="B150" s="476" t="s">
        <v>234</v>
      </c>
      <c r="C150" s="476" t="s">
        <v>235</v>
      </c>
      <c r="D150" s="106">
        <v>142</v>
      </c>
      <c r="E150" s="106" t="s">
        <v>236</v>
      </c>
      <c r="F150" s="120"/>
      <c r="G150" s="120"/>
      <c r="H150" s="120"/>
      <c r="I150" s="120"/>
      <c r="J150" s="116">
        <f t="shared" si="12"/>
        <v>0</v>
      </c>
      <c r="K150" s="120"/>
      <c r="L150" s="120"/>
      <c r="M150" s="120"/>
      <c r="N150" s="120"/>
      <c r="O150" s="120"/>
      <c r="P150" s="116">
        <f t="shared" si="13"/>
        <v>0</v>
      </c>
      <c r="Q150" s="120"/>
      <c r="R150" s="120"/>
      <c r="S150" s="150"/>
      <c r="T150" s="150">
        <f>1913.87316+16.5132</f>
        <v>1930.3863600000002</v>
      </c>
      <c r="U150" s="120"/>
      <c r="V150" s="120"/>
      <c r="W150" s="117"/>
      <c r="X150" s="117">
        <f t="shared" si="2"/>
        <v>1930.3863600000002</v>
      </c>
      <c r="Y150" s="97" t="s">
        <v>671</v>
      </c>
    </row>
    <row r="151" spans="1:25" ht="47.25">
      <c r="A151" s="469"/>
      <c r="B151" s="469"/>
      <c r="C151" s="469"/>
      <c r="D151" s="106">
        <v>143</v>
      </c>
      <c r="E151" s="106" t="s">
        <v>237</v>
      </c>
      <c r="F151" s="120"/>
      <c r="G151" s="120"/>
      <c r="H151" s="120"/>
      <c r="I151" s="120"/>
      <c r="J151" s="116">
        <f t="shared" si="12"/>
        <v>0</v>
      </c>
      <c r="K151" s="120"/>
      <c r="L151" s="120"/>
      <c r="M151" s="120"/>
      <c r="N151" s="120"/>
      <c r="O151" s="120"/>
      <c r="P151" s="116">
        <f t="shared" si="13"/>
        <v>0</v>
      </c>
      <c r="Q151" s="120"/>
      <c r="R151" s="120"/>
      <c r="S151" s="120"/>
      <c r="T151" s="120"/>
      <c r="U151" s="120"/>
      <c r="V151" s="120"/>
      <c r="W151" s="117"/>
      <c r="X151" s="117">
        <f t="shared" si="2"/>
        <v>0</v>
      </c>
      <c r="Y151" s="97"/>
    </row>
    <row r="152" spans="1:25" ht="15.75">
      <c r="A152" s="469"/>
      <c r="B152" s="469"/>
      <c r="C152" s="469"/>
      <c r="D152" s="106">
        <v>144</v>
      </c>
      <c r="E152" s="106" t="s">
        <v>238</v>
      </c>
      <c r="F152" s="120"/>
      <c r="G152" s="120"/>
      <c r="H152" s="120"/>
      <c r="I152" s="120"/>
      <c r="J152" s="116">
        <f t="shared" si="12"/>
        <v>0</v>
      </c>
      <c r="K152" s="120"/>
      <c r="L152" s="120"/>
      <c r="M152" s="120"/>
      <c r="N152" s="120"/>
      <c r="O152" s="120"/>
      <c r="P152" s="116">
        <f t="shared" si="13"/>
        <v>0</v>
      </c>
      <c r="Q152" s="120"/>
      <c r="R152" s="120"/>
      <c r="S152" s="120"/>
      <c r="T152" s="120"/>
      <c r="U152" s="120"/>
      <c r="V152" s="120"/>
      <c r="W152" s="117"/>
      <c r="X152" s="117">
        <f t="shared" si="2"/>
        <v>0</v>
      </c>
      <c r="Y152" s="97"/>
    </row>
    <row r="153" spans="1:25" ht="47.25">
      <c r="A153" s="469"/>
      <c r="B153" s="469"/>
      <c r="C153" s="469"/>
      <c r="D153" s="106">
        <v>145</v>
      </c>
      <c r="E153" s="106" t="s">
        <v>295</v>
      </c>
      <c r="F153" s="120"/>
      <c r="G153" s="120"/>
      <c r="H153" s="120"/>
      <c r="I153" s="120"/>
      <c r="J153" s="116">
        <f t="shared" si="12"/>
        <v>0</v>
      </c>
      <c r="K153" s="120"/>
      <c r="L153" s="120"/>
      <c r="M153" s="120"/>
      <c r="N153" s="120"/>
      <c r="O153" s="120"/>
      <c r="P153" s="116">
        <f t="shared" si="13"/>
        <v>0</v>
      </c>
      <c r="Q153" s="120"/>
      <c r="R153" s="120"/>
      <c r="S153" s="120"/>
      <c r="T153" s="120"/>
      <c r="U153" s="120"/>
      <c r="V153" s="120"/>
      <c r="W153" s="117"/>
      <c r="X153" s="117">
        <f t="shared" si="2"/>
        <v>0</v>
      </c>
      <c r="Y153" s="97"/>
    </row>
    <row r="154" spans="1:25" ht="126">
      <c r="A154" s="469"/>
      <c r="B154" s="106" t="s">
        <v>240</v>
      </c>
      <c r="C154" s="106" t="s">
        <v>241</v>
      </c>
      <c r="D154" s="106">
        <v>146</v>
      </c>
      <c r="E154" s="106" t="s">
        <v>242</v>
      </c>
      <c r="F154" s="120"/>
      <c r="G154" s="120"/>
      <c r="H154" s="120"/>
      <c r="I154" s="120"/>
      <c r="J154" s="116">
        <f t="shared" si="12"/>
        <v>0</v>
      </c>
      <c r="K154" s="120"/>
      <c r="L154" s="120"/>
      <c r="M154" s="120"/>
      <c r="N154" s="120"/>
      <c r="O154" s="120"/>
      <c r="P154" s="116">
        <f t="shared" si="13"/>
        <v>0</v>
      </c>
      <c r="Q154" s="120"/>
      <c r="R154" s="120"/>
      <c r="S154" s="120"/>
      <c r="T154" s="120">
        <v>6</v>
      </c>
      <c r="U154" s="120"/>
      <c r="V154" s="120"/>
      <c r="W154" s="117"/>
      <c r="X154" s="117">
        <f t="shared" si="2"/>
        <v>6</v>
      </c>
      <c r="Y154" s="256" t="s">
        <v>672</v>
      </c>
    </row>
    <row r="155" spans="1:25" ht="78.75">
      <c r="A155" s="469"/>
      <c r="B155" s="106" t="s">
        <v>243</v>
      </c>
      <c r="C155" s="106" t="s">
        <v>244</v>
      </c>
      <c r="D155" s="106">
        <v>147</v>
      </c>
      <c r="E155" s="106" t="s">
        <v>125</v>
      </c>
      <c r="F155" s="120"/>
      <c r="G155" s="120"/>
      <c r="H155" s="120"/>
      <c r="I155" s="120"/>
      <c r="J155" s="116">
        <f t="shared" si="12"/>
        <v>0</v>
      </c>
      <c r="K155" s="120"/>
      <c r="L155" s="120"/>
      <c r="M155" s="120"/>
      <c r="N155" s="120"/>
      <c r="O155" s="120"/>
      <c r="P155" s="116">
        <f t="shared" si="13"/>
        <v>0</v>
      </c>
      <c r="Q155" s="120"/>
      <c r="R155" s="120"/>
      <c r="S155" s="120"/>
      <c r="T155" s="120"/>
      <c r="U155" s="120"/>
      <c r="V155" s="120"/>
      <c r="W155" s="117"/>
      <c r="X155" s="117">
        <f t="shared" si="2"/>
        <v>0</v>
      </c>
      <c r="Y155" s="97"/>
    </row>
    <row r="156" spans="1:25" ht="78.75" hidden="1">
      <c r="A156" s="469"/>
      <c r="B156" s="106" t="s">
        <v>245</v>
      </c>
      <c r="C156" s="106" t="s">
        <v>246</v>
      </c>
      <c r="D156" s="106">
        <v>148</v>
      </c>
      <c r="E156" s="106" t="s">
        <v>247</v>
      </c>
      <c r="F156" s="120"/>
      <c r="G156" s="120"/>
      <c r="H156" s="120"/>
      <c r="I156" s="120"/>
      <c r="J156" s="116">
        <f t="shared" si="12"/>
        <v>0</v>
      </c>
      <c r="K156" s="120"/>
      <c r="L156" s="120"/>
      <c r="M156" s="120"/>
      <c r="N156" s="120"/>
      <c r="O156" s="120"/>
      <c r="P156" s="116">
        <f t="shared" si="13"/>
        <v>0</v>
      </c>
      <c r="Q156" s="120"/>
      <c r="R156" s="120"/>
      <c r="S156" s="122"/>
      <c r="T156" s="122"/>
      <c r="U156" s="120"/>
      <c r="V156" s="120"/>
      <c r="W156" s="117"/>
      <c r="X156" s="117">
        <f t="shared" si="2"/>
        <v>0</v>
      </c>
      <c r="Y156" s="135"/>
    </row>
    <row r="157" spans="1:25" ht="94.5">
      <c r="A157" s="469"/>
      <c r="B157" s="106" t="s">
        <v>248</v>
      </c>
      <c r="C157" s="106" t="s">
        <v>249</v>
      </c>
      <c r="D157" s="106">
        <v>149</v>
      </c>
      <c r="E157" s="106" t="s">
        <v>250</v>
      </c>
      <c r="F157" s="151"/>
      <c r="G157" s="151"/>
      <c r="H157" s="151"/>
      <c r="I157" s="151"/>
      <c r="J157" s="116">
        <f t="shared" si="12"/>
        <v>0</v>
      </c>
      <c r="K157" s="151"/>
      <c r="L157" s="151"/>
      <c r="M157" s="151"/>
      <c r="N157" s="151"/>
      <c r="O157" s="151"/>
      <c r="P157" s="116">
        <f t="shared" si="13"/>
        <v>0</v>
      </c>
      <c r="Q157" s="151"/>
      <c r="R157" s="151"/>
      <c r="S157" s="122"/>
      <c r="T157" s="122">
        <f>+(0.03*186)</f>
        <v>5.58</v>
      </c>
      <c r="U157" s="151"/>
      <c r="V157" s="151"/>
      <c r="W157" s="117"/>
      <c r="X157" s="117">
        <f t="shared" si="2"/>
        <v>5.58</v>
      </c>
      <c r="Y157" s="135" t="s">
        <v>673</v>
      </c>
    </row>
    <row r="158" spans="1:25" ht="36.75" customHeight="1">
      <c r="A158" s="469"/>
      <c r="B158" s="478" t="s">
        <v>251</v>
      </c>
      <c r="C158" s="469"/>
      <c r="D158" s="469"/>
      <c r="E158" s="99"/>
      <c r="F158" s="100">
        <f t="shared" ref="F158:W158" si="14">SUM(F135:F157)</f>
        <v>0</v>
      </c>
      <c r="G158" s="100">
        <f t="shared" si="14"/>
        <v>0</v>
      </c>
      <c r="H158" s="100">
        <f t="shared" si="14"/>
        <v>0</v>
      </c>
      <c r="I158" s="100">
        <f t="shared" si="14"/>
        <v>0</v>
      </c>
      <c r="J158" s="100">
        <f t="shared" si="14"/>
        <v>0</v>
      </c>
      <c r="K158" s="100">
        <f t="shared" si="14"/>
        <v>0</v>
      </c>
      <c r="L158" s="100">
        <f t="shared" si="14"/>
        <v>0</v>
      </c>
      <c r="M158" s="100">
        <f t="shared" si="14"/>
        <v>0</v>
      </c>
      <c r="N158" s="100">
        <f t="shared" si="14"/>
        <v>0</v>
      </c>
      <c r="O158" s="100">
        <f t="shared" si="14"/>
        <v>0</v>
      </c>
      <c r="P158" s="100">
        <f t="shared" si="14"/>
        <v>0</v>
      </c>
      <c r="Q158" s="100">
        <f t="shared" si="14"/>
        <v>0</v>
      </c>
      <c r="R158" s="100">
        <f t="shared" si="14"/>
        <v>0</v>
      </c>
      <c r="S158" s="100">
        <f t="shared" si="14"/>
        <v>0</v>
      </c>
      <c r="T158" s="102">
        <f t="shared" si="14"/>
        <v>1951.7863600000001</v>
      </c>
      <c r="U158" s="100">
        <f t="shared" si="14"/>
        <v>0</v>
      </c>
      <c r="V158" s="100">
        <f t="shared" si="14"/>
        <v>0</v>
      </c>
      <c r="W158" s="102">
        <f t="shared" si="14"/>
        <v>0</v>
      </c>
      <c r="X158" s="102">
        <f t="shared" si="2"/>
        <v>1951.7863600000001</v>
      </c>
      <c r="Y158" s="253"/>
    </row>
    <row r="159" spans="1:25" ht="78.75">
      <c r="A159" s="477" t="s">
        <v>252</v>
      </c>
      <c r="B159" s="476" t="s">
        <v>253</v>
      </c>
      <c r="C159" s="476" t="s">
        <v>211</v>
      </c>
      <c r="D159" s="106">
        <v>150</v>
      </c>
      <c r="E159" s="106" t="s">
        <v>239</v>
      </c>
      <c r="F159" s="120"/>
      <c r="G159" s="121"/>
      <c r="H159" s="121">
        <v>195</v>
      </c>
      <c r="I159" s="121"/>
      <c r="J159" s="125">
        <f t="shared" ref="J159:J215" si="15">H159+I159</f>
        <v>195</v>
      </c>
      <c r="K159" s="120"/>
      <c r="L159" s="120"/>
      <c r="M159" s="120"/>
      <c r="N159" s="120"/>
      <c r="O159" s="120"/>
      <c r="P159" s="116">
        <f t="shared" ref="P159:P215" si="16">N159+O159</f>
        <v>0</v>
      </c>
      <c r="Q159" s="120"/>
      <c r="R159" s="120"/>
      <c r="S159" s="121"/>
      <c r="T159" s="121">
        <v>1</v>
      </c>
      <c r="U159" s="120"/>
      <c r="V159" s="120"/>
      <c r="W159" s="117"/>
      <c r="X159" s="117">
        <f t="shared" si="2"/>
        <v>196</v>
      </c>
      <c r="Y159" s="257" t="s">
        <v>1007</v>
      </c>
    </row>
    <row r="160" spans="1:25" ht="31.5">
      <c r="A160" s="469"/>
      <c r="B160" s="469"/>
      <c r="C160" s="469"/>
      <c r="D160" s="106">
        <v>151</v>
      </c>
      <c r="E160" s="106" t="s">
        <v>254</v>
      </c>
      <c r="F160" s="120"/>
      <c r="G160" s="121"/>
      <c r="H160" s="121"/>
      <c r="I160" s="121"/>
      <c r="J160" s="125">
        <f t="shared" si="15"/>
        <v>0</v>
      </c>
      <c r="K160" s="122"/>
      <c r="L160" s="122"/>
      <c r="M160" s="120"/>
      <c r="N160" s="120"/>
      <c r="O160" s="120"/>
      <c r="P160" s="116">
        <f t="shared" si="16"/>
        <v>0</v>
      </c>
      <c r="Q160" s="120"/>
      <c r="R160" s="120"/>
      <c r="S160" s="121"/>
      <c r="T160" s="121"/>
      <c r="U160" s="120"/>
      <c r="V160" s="120"/>
      <c r="W160" s="117"/>
      <c r="X160" s="117">
        <f t="shared" si="2"/>
        <v>0</v>
      </c>
      <c r="Y160" s="97"/>
    </row>
    <row r="161" spans="1:25" ht="89.25" customHeight="1">
      <c r="A161" s="469"/>
      <c r="B161" s="469"/>
      <c r="C161" s="469"/>
      <c r="D161" s="106">
        <v>152</v>
      </c>
      <c r="E161" s="106" t="s">
        <v>255</v>
      </c>
      <c r="F161" s="120"/>
      <c r="G161" s="120"/>
      <c r="H161" s="120"/>
      <c r="I161" s="120"/>
      <c r="J161" s="116">
        <f t="shared" si="15"/>
        <v>0</v>
      </c>
      <c r="K161" s="120"/>
      <c r="L161" s="120"/>
      <c r="M161" s="120"/>
      <c r="N161" s="120"/>
      <c r="O161" s="120"/>
      <c r="P161" s="116">
        <f t="shared" si="16"/>
        <v>0</v>
      </c>
      <c r="Q161" s="120"/>
      <c r="R161" s="120"/>
      <c r="S161" s="121"/>
      <c r="T161" s="98">
        <f>410 * 3600/100000</f>
        <v>14.76</v>
      </c>
      <c r="U161" s="120"/>
      <c r="V161" s="120"/>
      <c r="W161" s="117"/>
      <c r="X161" s="117">
        <f t="shared" si="2"/>
        <v>14.76</v>
      </c>
      <c r="Y161" s="135" t="s">
        <v>1018</v>
      </c>
    </row>
    <row r="162" spans="1:25" ht="15.75">
      <c r="A162" s="469"/>
      <c r="B162" s="469"/>
      <c r="C162" s="469"/>
      <c r="D162" s="106">
        <v>153</v>
      </c>
      <c r="E162" s="106" t="s">
        <v>256</v>
      </c>
      <c r="F162" s="151"/>
      <c r="G162" s="151"/>
      <c r="H162" s="151"/>
      <c r="I162" s="151"/>
      <c r="J162" s="116">
        <f t="shared" si="15"/>
        <v>0</v>
      </c>
      <c r="K162" s="151"/>
      <c r="L162" s="151"/>
      <c r="M162" s="151"/>
      <c r="N162" s="151"/>
      <c r="O162" s="151"/>
      <c r="P162" s="116">
        <f t="shared" si="16"/>
        <v>0</v>
      </c>
      <c r="Q162" s="151"/>
      <c r="R162" s="151"/>
      <c r="S162" s="151"/>
      <c r="T162" s="151"/>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5"/>
        <v>0</v>
      </c>
      <c r="K163" s="120"/>
      <c r="L163" s="120"/>
      <c r="M163" s="120"/>
      <c r="N163" s="120"/>
      <c r="O163" s="122"/>
      <c r="P163" s="117">
        <f t="shared" si="16"/>
        <v>0</v>
      </c>
      <c r="Q163" s="122"/>
      <c r="R163" s="122"/>
      <c r="S163" s="120"/>
      <c r="T163" s="120"/>
      <c r="U163" s="120"/>
      <c r="V163" s="120"/>
      <c r="W163" s="117"/>
      <c r="X163" s="117">
        <f t="shared" si="2"/>
        <v>0</v>
      </c>
      <c r="Y163" s="97"/>
    </row>
    <row r="164" spans="1:25" ht="31.5">
      <c r="A164" s="469"/>
      <c r="B164" s="469"/>
      <c r="C164" s="469"/>
      <c r="D164" s="106">
        <v>155</v>
      </c>
      <c r="E164" s="106" t="s">
        <v>260</v>
      </c>
      <c r="F164" s="120"/>
      <c r="G164" s="120"/>
      <c r="H164" s="120"/>
      <c r="I164" s="120"/>
      <c r="J164" s="116">
        <f t="shared" si="15"/>
        <v>0</v>
      </c>
      <c r="K164" s="120"/>
      <c r="L164" s="120"/>
      <c r="M164" s="120"/>
      <c r="N164" s="120"/>
      <c r="O164" s="120"/>
      <c r="P164" s="116">
        <f t="shared" si="16"/>
        <v>0</v>
      </c>
      <c r="Q164" s="120"/>
      <c r="R164" s="120"/>
      <c r="S164" s="121"/>
      <c r="T164" s="121"/>
      <c r="U164" s="120"/>
      <c r="V164" s="120"/>
      <c r="W164" s="117"/>
      <c r="X164" s="117">
        <f t="shared" si="2"/>
        <v>0</v>
      </c>
      <c r="Y164" s="97"/>
    </row>
    <row r="165" spans="1:25" ht="44.25" customHeight="1">
      <c r="A165" s="469"/>
      <c r="B165" s="469"/>
      <c r="C165" s="469"/>
      <c r="D165" s="106">
        <v>156</v>
      </c>
      <c r="E165" s="106" t="s">
        <v>261</v>
      </c>
      <c r="F165" s="120"/>
      <c r="G165" s="120"/>
      <c r="H165" s="120"/>
      <c r="I165" s="121"/>
      <c r="J165" s="125">
        <f t="shared" si="15"/>
        <v>0</v>
      </c>
      <c r="K165" s="122"/>
      <c r="L165" s="122"/>
      <c r="M165" s="120"/>
      <c r="N165" s="120"/>
      <c r="O165" s="120"/>
      <c r="P165" s="116">
        <f t="shared" si="16"/>
        <v>0</v>
      </c>
      <c r="Q165" s="120"/>
      <c r="R165" s="120"/>
      <c r="S165" s="121"/>
      <c r="T165" s="121">
        <v>1</v>
      </c>
      <c r="U165" s="115"/>
      <c r="V165" s="120"/>
      <c r="W165" s="117"/>
      <c r="X165" s="117">
        <f t="shared" si="2"/>
        <v>1</v>
      </c>
      <c r="Y165" s="97" t="s">
        <v>811</v>
      </c>
    </row>
    <row r="166" spans="1:25" ht="31.5">
      <c r="A166" s="469"/>
      <c r="B166" s="469"/>
      <c r="C166" s="469"/>
      <c r="D166" s="106">
        <v>157</v>
      </c>
      <c r="E166" s="106" t="s">
        <v>262</v>
      </c>
      <c r="F166" s="120"/>
      <c r="G166" s="120"/>
      <c r="H166" s="120"/>
      <c r="I166" s="120"/>
      <c r="J166" s="116">
        <f t="shared" si="15"/>
        <v>0</v>
      </c>
      <c r="K166" s="120"/>
      <c r="L166" s="120"/>
      <c r="M166" s="120"/>
      <c r="N166" s="120"/>
      <c r="O166" s="120"/>
      <c r="P166" s="116">
        <f t="shared" si="16"/>
        <v>0</v>
      </c>
      <c r="Q166" s="120"/>
      <c r="R166" s="120"/>
      <c r="S166" s="120"/>
      <c r="T166" s="120"/>
      <c r="U166" s="120"/>
      <c r="V166" s="120"/>
      <c r="W166" s="117"/>
      <c r="X166" s="117">
        <f t="shared" si="2"/>
        <v>0</v>
      </c>
      <c r="Y166" s="97"/>
    </row>
    <row r="167" spans="1:25" ht="31.5">
      <c r="A167" s="469"/>
      <c r="B167" s="469"/>
      <c r="C167" s="469"/>
      <c r="D167" s="106">
        <v>158</v>
      </c>
      <c r="E167" s="106" t="s">
        <v>263</v>
      </c>
      <c r="F167" s="120"/>
      <c r="G167" s="120"/>
      <c r="H167" s="120"/>
      <c r="I167" s="120"/>
      <c r="J167" s="116">
        <f t="shared" si="15"/>
        <v>0</v>
      </c>
      <c r="K167" s="120"/>
      <c r="L167" s="120"/>
      <c r="M167" s="120"/>
      <c r="N167" s="120"/>
      <c r="O167" s="120"/>
      <c r="P167" s="116">
        <f t="shared" si="16"/>
        <v>0</v>
      </c>
      <c r="Q167" s="120"/>
      <c r="R167" s="120"/>
      <c r="S167" s="120"/>
      <c r="T167" s="120"/>
      <c r="U167" s="120"/>
      <c r="V167" s="120"/>
      <c r="W167" s="117"/>
      <c r="X167" s="117">
        <f t="shared" si="2"/>
        <v>0</v>
      </c>
      <c r="Y167" s="97"/>
    </row>
    <row r="168" spans="1:25" ht="94.5">
      <c r="A168" s="469"/>
      <c r="B168" s="476" t="s">
        <v>264</v>
      </c>
      <c r="C168" s="476" t="s">
        <v>216</v>
      </c>
      <c r="D168" s="106">
        <v>159</v>
      </c>
      <c r="E168" s="106" t="s">
        <v>217</v>
      </c>
      <c r="F168" s="120"/>
      <c r="G168" s="120"/>
      <c r="H168" s="120"/>
      <c r="I168" s="120"/>
      <c r="J168" s="116">
        <f t="shared" si="15"/>
        <v>0</v>
      </c>
      <c r="K168" s="120"/>
      <c r="L168" s="120"/>
      <c r="M168" s="120"/>
      <c r="N168" s="120"/>
      <c r="O168" s="122"/>
      <c r="P168" s="117">
        <f t="shared" si="16"/>
        <v>0</v>
      </c>
      <c r="Q168" s="120"/>
      <c r="R168" s="120"/>
      <c r="S168" s="121"/>
      <c r="T168" s="121">
        <v>58.32</v>
      </c>
      <c r="U168" s="120"/>
      <c r="V168" s="120"/>
      <c r="W168" s="117"/>
      <c r="X168" s="117">
        <f t="shared" si="2"/>
        <v>58.32</v>
      </c>
      <c r="Y168" s="97" t="s">
        <v>999</v>
      </c>
    </row>
    <row r="169" spans="1:25" ht="15.75">
      <c r="A169" s="469"/>
      <c r="B169" s="469"/>
      <c r="C169" s="469"/>
      <c r="D169" s="106">
        <v>160</v>
      </c>
      <c r="E169" s="106" t="s">
        <v>265</v>
      </c>
      <c r="F169" s="120"/>
      <c r="G169" s="120"/>
      <c r="H169" s="120"/>
      <c r="I169" s="120"/>
      <c r="J169" s="116">
        <f t="shared" si="15"/>
        <v>0</v>
      </c>
      <c r="K169" s="120"/>
      <c r="L169" s="120"/>
      <c r="M169" s="120"/>
      <c r="N169" s="120"/>
      <c r="O169" s="120"/>
      <c r="P169" s="116">
        <f t="shared" si="16"/>
        <v>0</v>
      </c>
      <c r="Q169" s="120"/>
      <c r="R169" s="120"/>
      <c r="S169" s="120"/>
      <c r="T169" s="120"/>
      <c r="U169" s="120"/>
      <c r="V169" s="120"/>
      <c r="W169" s="117"/>
      <c r="X169" s="117">
        <f t="shared" si="2"/>
        <v>0</v>
      </c>
      <c r="Y169" s="245"/>
    </row>
    <row r="170" spans="1:25" ht="15.75">
      <c r="A170" s="469"/>
      <c r="B170" s="469"/>
      <c r="C170" s="469"/>
      <c r="D170" s="106">
        <v>161</v>
      </c>
      <c r="E170" s="106" t="s">
        <v>219</v>
      </c>
      <c r="F170" s="120"/>
      <c r="G170" s="120"/>
      <c r="H170" s="120"/>
      <c r="I170" s="120"/>
      <c r="J170" s="116">
        <f t="shared" si="15"/>
        <v>0</v>
      </c>
      <c r="K170" s="120"/>
      <c r="L170" s="120"/>
      <c r="M170" s="120"/>
      <c r="N170" s="120"/>
      <c r="O170" s="120"/>
      <c r="P170" s="116">
        <f t="shared" si="16"/>
        <v>0</v>
      </c>
      <c r="Q170" s="120"/>
      <c r="R170" s="120"/>
      <c r="S170" s="120"/>
      <c r="T170" s="120"/>
      <c r="U170" s="120"/>
      <c r="V170" s="120"/>
      <c r="W170" s="117"/>
      <c r="X170" s="117">
        <f t="shared" si="2"/>
        <v>0</v>
      </c>
      <c r="Y170" s="97"/>
    </row>
    <row r="171" spans="1:25" ht="15.75">
      <c r="A171" s="469"/>
      <c r="B171" s="469"/>
      <c r="C171" s="469"/>
      <c r="D171" s="106">
        <v>162</v>
      </c>
      <c r="E171" s="106" t="s">
        <v>220</v>
      </c>
      <c r="F171" s="120"/>
      <c r="G171" s="120"/>
      <c r="H171" s="120"/>
      <c r="I171" s="120"/>
      <c r="J171" s="116">
        <f t="shared" si="15"/>
        <v>0</v>
      </c>
      <c r="K171" s="120"/>
      <c r="L171" s="120"/>
      <c r="M171" s="120"/>
      <c r="N171" s="120"/>
      <c r="O171" s="120"/>
      <c r="P171" s="116">
        <f t="shared" si="16"/>
        <v>0</v>
      </c>
      <c r="Q171" s="120"/>
      <c r="R171" s="120"/>
      <c r="S171" s="120"/>
      <c r="T171" s="120"/>
      <c r="U171" s="120"/>
      <c r="V171" s="120"/>
      <c r="W171" s="117"/>
      <c r="X171" s="117">
        <f t="shared" si="2"/>
        <v>0</v>
      </c>
      <c r="Y171" s="97"/>
    </row>
    <row r="172" spans="1:25" ht="47.25">
      <c r="A172" s="469"/>
      <c r="B172" s="469"/>
      <c r="C172" s="469"/>
      <c r="D172" s="106">
        <v>163</v>
      </c>
      <c r="E172" s="106" t="s">
        <v>266</v>
      </c>
      <c r="F172" s="120"/>
      <c r="G172" s="120"/>
      <c r="H172" s="120"/>
      <c r="I172" s="120"/>
      <c r="J172" s="116">
        <f t="shared" si="15"/>
        <v>0</v>
      </c>
      <c r="K172" s="120"/>
      <c r="L172" s="120"/>
      <c r="M172" s="120"/>
      <c r="N172" s="120"/>
      <c r="O172" s="120"/>
      <c r="P172" s="116">
        <f t="shared" si="16"/>
        <v>0</v>
      </c>
      <c r="Q172" s="120"/>
      <c r="R172" s="120"/>
      <c r="S172" s="121"/>
      <c r="T172" s="121"/>
      <c r="U172" s="120"/>
      <c r="V172" s="120"/>
      <c r="W172" s="117"/>
      <c r="X172" s="117">
        <f t="shared" si="2"/>
        <v>0</v>
      </c>
      <c r="Y172" s="135"/>
    </row>
    <row r="173" spans="1:25" ht="15.75">
      <c r="A173" s="469"/>
      <c r="B173" s="476" t="s">
        <v>267</v>
      </c>
      <c r="C173" s="476" t="s">
        <v>268</v>
      </c>
      <c r="D173" s="106">
        <v>164</v>
      </c>
      <c r="E173" s="106" t="s">
        <v>269</v>
      </c>
      <c r="F173" s="120"/>
      <c r="G173" s="121"/>
      <c r="H173" s="121"/>
      <c r="I173" s="121"/>
      <c r="J173" s="125">
        <f t="shared" si="15"/>
        <v>0</v>
      </c>
      <c r="K173" s="120"/>
      <c r="L173" s="120"/>
      <c r="M173" s="120"/>
      <c r="N173" s="120"/>
      <c r="O173" s="120"/>
      <c r="P173" s="116">
        <f t="shared" si="16"/>
        <v>0</v>
      </c>
      <c r="Q173" s="120"/>
      <c r="R173" s="120"/>
      <c r="S173" s="120"/>
      <c r="T173" s="120"/>
      <c r="U173" s="120"/>
      <c r="V173" s="120"/>
      <c r="W173" s="117"/>
      <c r="X173" s="117">
        <f t="shared" si="2"/>
        <v>0</v>
      </c>
      <c r="Y173" s="97"/>
    </row>
    <row r="174" spans="1:25" ht="15.75">
      <c r="A174" s="469"/>
      <c r="B174" s="469"/>
      <c r="C174" s="469"/>
      <c r="D174" s="106">
        <v>165</v>
      </c>
      <c r="E174" s="106" t="s">
        <v>270</v>
      </c>
      <c r="F174" s="120"/>
      <c r="G174" s="121"/>
      <c r="H174" s="121"/>
      <c r="I174" s="121"/>
      <c r="J174" s="125">
        <f t="shared" si="15"/>
        <v>0</v>
      </c>
      <c r="K174" s="120"/>
      <c r="L174" s="120"/>
      <c r="M174" s="120"/>
      <c r="N174" s="120"/>
      <c r="O174" s="120"/>
      <c r="P174" s="116">
        <f t="shared" si="16"/>
        <v>0</v>
      </c>
      <c r="Q174" s="120"/>
      <c r="R174" s="120"/>
      <c r="S174" s="120"/>
      <c r="T174" s="120"/>
      <c r="U174" s="120"/>
      <c r="V174" s="120"/>
      <c r="W174" s="117"/>
      <c r="X174" s="117">
        <f t="shared" si="2"/>
        <v>0</v>
      </c>
      <c r="Y174" s="97"/>
    </row>
    <row r="175" spans="1:25" ht="31.5">
      <c r="A175" s="469"/>
      <c r="B175" s="469"/>
      <c r="C175" s="469"/>
      <c r="D175" s="106">
        <v>166</v>
      </c>
      <c r="E175" s="106" t="s">
        <v>271</v>
      </c>
      <c r="F175" s="120"/>
      <c r="G175" s="121"/>
      <c r="H175" s="121"/>
      <c r="I175" s="121"/>
      <c r="J175" s="125">
        <f t="shared" si="15"/>
        <v>0</v>
      </c>
      <c r="K175" s="120"/>
      <c r="L175" s="120"/>
      <c r="M175" s="120"/>
      <c r="N175" s="120"/>
      <c r="O175" s="120"/>
      <c r="P175" s="116">
        <f t="shared" si="16"/>
        <v>0</v>
      </c>
      <c r="Q175" s="120"/>
      <c r="R175" s="120"/>
      <c r="S175" s="120"/>
      <c r="T175" s="120"/>
      <c r="U175" s="120"/>
      <c r="V175" s="120"/>
      <c r="W175" s="117"/>
      <c r="X175" s="117">
        <f t="shared" si="2"/>
        <v>0</v>
      </c>
      <c r="Y175" s="97"/>
    </row>
    <row r="176" spans="1:25" ht="15.75">
      <c r="A176" s="469"/>
      <c r="B176" s="469"/>
      <c r="C176" s="469"/>
      <c r="D176" s="106">
        <v>167</v>
      </c>
      <c r="E176" s="106" t="s">
        <v>272</v>
      </c>
      <c r="F176" s="120"/>
      <c r="G176" s="121"/>
      <c r="H176" s="121"/>
      <c r="I176" s="121"/>
      <c r="J176" s="125">
        <f t="shared" si="15"/>
        <v>0</v>
      </c>
      <c r="K176" s="120"/>
      <c r="L176" s="120"/>
      <c r="M176" s="120"/>
      <c r="N176" s="120"/>
      <c r="O176" s="120"/>
      <c r="P176" s="116">
        <f t="shared" si="16"/>
        <v>0</v>
      </c>
      <c r="Q176" s="120"/>
      <c r="R176" s="120"/>
      <c r="S176" s="120"/>
      <c r="T176" s="120"/>
      <c r="U176" s="120"/>
      <c r="V176" s="120"/>
      <c r="W176" s="117"/>
      <c r="X176" s="117">
        <f t="shared" si="2"/>
        <v>0</v>
      </c>
      <c r="Y176" s="97"/>
    </row>
    <row r="177" spans="1:25" ht="15.75">
      <c r="A177" s="469"/>
      <c r="B177" s="469"/>
      <c r="C177" s="469"/>
      <c r="D177" s="106">
        <v>168</v>
      </c>
      <c r="E177" s="106" t="s">
        <v>273</v>
      </c>
      <c r="F177" s="120"/>
      <c r="G177" s="121"/>
      <c r="H177" s="121"/>
      <c r="I177" s="121"/>
      <c r="J177" s="125">
        <f t="shared" si="15"/>
        <v>0</v>
      </c>
      <c r="K177" s="120"/>
      <c r="L177" s="120"/>
      <c r="M177" s="120"/>
      <c r="N177" s="120"/>
      <c r="O177" s="120"/>
      <c r="P177" s="116">
        <f t="shared" si="16"/>
        <v>0</v>
      </c>
      <c r="Q177" s="120"/>
      <c r="R177" s="120"/>
      <c r="S177" s="120"/>
      <c r="T177" s="120"/>
      <c r="U177" s="120"/>
      <c r="V177" s="120"/>
      <c r="W177" s="117"/>
      <c r="X177" s="117">
        <f t="shared" si="2"/>
        <v>0</v>
      </c>
      <c r="Y177" s="97"/>
    </row>
    <row r="178" spans="1:25" ht="47.25">
      <c r="A178" s="469"/>
      <c r="B178" s="469"/>
      <c r="C178" s="469"/>
      <c r="D178" s="106">
        <v>169</v>
      </c>
      <c r="E178" s="106" t="s">
        <v>274</v>
      </c>
      <c r="F178" s="120"/>
      <c r="G178" s="121"/>
      <c r="H178" s="121"/>
      <c r="I178" s="121"/>
      <c r="J178" s="125">
        <f t="shared" si="15"/>
        <v>0</v>
      </c>
      <c r="K178" s="122"/>
      <c r="L178" s="122"/>
      <c r="M178" s="120"/>
      <c r="N178" s="120"/>
      <c r="O178" s="120"/>
      <c r="P178" s="116">
        <f t="shared" si="16"/>
        <v>0</v>
      </c>
      <c r="Q178" s="120"/>
      <c r="R178" s="120"/>
      <c r="S178" s="120"/>
      <c r="T178" s="120"/>
      <c r="U178" s="120"/>
      <c r="V178" s="120"/>
      <c r="W178" s="117"/>
      <c r="X178" s="117">
        <f t="shared" si="2"/>
        <v>0</v>
      </c>
      <c r="Y178" s="97"/>
    </row>
    <row r="179" spans="1:25" ht="63">
      <c r="A179" s="469"/>
      <c r="B179" s="469"/>
      <c r="C179" s="469"/>
      <c r="D179" s="106">
        <v>170</v>
      </c>
      <c r="E179" s="106" t="s">
        <v>275</v>
      </c>
      <c r="F179" s="120"/>
      <c r="G179" s="120"/>
      <c r="H179" s="120"/>
      <c r="I179" s="120"/>
      <c r="J179" s="116">
        <f t="shared" si="15"/>
        <v>0</v>
      </c>
      <c r="K179" s="120"/>
      <c r="L179" s="120"/>
      <c r="M179" s="120"/>
      <c r="N179" s="120"/>
      <c r="O179" s="120"/>
      <c r="P179" s="116">
        <f t="shared" si="16"/>
        <v>0</v>
      </c>
      <c r="Q179" s="120"/>
      <c r="R179" s="120"/>
      <c r="S179" s="120"/>
      <c r="T179" s="120"/>
      <c r="U179" s="120"/>
      <c r="V179" s="120"/>
      <c r="W179" s="117"/>
      <c r="X179" s="117">
        <f t="shared" si="2"/>
        <v>0</v>
      </c>
      <c r="Y179" s="97"/>
    </row>
    <row r="180" spans="1:25" ht="31.5">
      <c r="A180" s="469"/>
      <c r="B180" s="476" t="s">
        <v>276</v>
      </c>
      <c r="C180" s="476" t="s">
        <v>277</v>
      </c>
      <c r="D180" s="106">
        <v>171</v>
      </c>
      <c r="E180" s="106" t="s">
        <v>278</v>
      </c>
      <c r="F180" s="120"/>
      <c r="G180" s="120"/>
      <c r="H180" s="120"/>
      <c r="I180" s="120"/>
      <c r="J180" s="116">
        <f t="shared" si="15"/>
        <v>0</v>
      </c>
      <c r="K180" s="120"/>
      <c r="L180" s="120"/>
      <c r="M180" s="120"/>
      <c r="N180" s="120"/>
      <c r="O180" s="120"/>
      <c r="P180" s="116">
        <f t="shared" si="16"/>
        <v>0</v>
      </c>
      <c r="Q180" s="120"/>
      <c r="R180" s="120"/>
      <c r="S180" s="120"/>
      <c r="T180" s="120"/>
      <c r="U180" s="120"/>
      <c r="V180" s="120"/>
      <c r="W180" s="117"/>
      <c r="X180" s="117">
        <f t="shared" si="2"/>
        <v>0</v>
      </c>
      <c r="Y180" s="97"/>
    </row>
    <row r="181" spans="1:25" ht="31.5">
      <c r="A181" s="469"/>
      <c r="B181" s="469"/>
      <c r="C181" s="469"/>
      <c r="D181" s="106">
        <v>172</v>
      </c>
      <c r="E181" s="106" t="s">
        <v>279</v>
      </c>
      <c r="F181" s="120"/>
      <c r="G181" s="120"/>
      <c r="H181" s="120"/>
      <c r="I181" s="120"/>
      <c r="J181" s="116">
        <f t="shared" si="15"/>
        <v>0</v>
      </c>
      <c r="K181" s="120"/>
      <c r="L181" s="120"/>
      <c r="M181" s="120"/>
      <c r="N181" s="120"/>
      <c r="O181" s="120"/>
      <c r="P181" s="116">
        <f t="shared" si="16"/>
        <v>0</v>
      </c>
      <c r="Q181" s="120"/>
      <c r="R181" s="120"/>
      <c r="S181" s="122"/>
      <c r="T181" s="122"/>
      <c r="U181" s="120"/>
      <c r="V181" s="120"/>
      <c r="W181" s="117"/>
      <c r="X181" s="117">
        <f t="shared" si="2"/>
        <v>0</v>
      </c>
      <c r="Y181" s="97"/>
    </row>
    <row r="182" spans="1:25" ht="31.5">
      <c r="A182" s="469"/>
      <c r="B182" s="469"/>
      <c r="C182" s="469"/>
      <c r="D182" s="106">
        <v>173</v>
      </c>
      <c r="E182" s="106" t="s">
        <v>280</v>
      </c>
      <c r="F182" s="120"/>
      <c r="G182" s="120"/>
      <c r="H182" s="120"/>
      <c r="I182" s="120"/>
      <c r="J182" s="116">
        <f t="shared" si="15"/>
        <v>0</v>
      </c>
      <c r="K182" s="120"/>
      <c r="L182" s="120"/>
      <c r="M182" s="120"/>
      <c r="N182" s="120"/>
      <c r="O182" s="120"/>
      <c r="P182" s="116">
        <f t="shared" si="16"/>
        <v>0</v>
      </c>
      <c r="Q182" s="120"/>
      <c r="R182" s="120"/>
      <c r="S182" s="120"/>
      <c r="T182" s="120"/>
      <c r="U182" s="120"/>
      <c r="V182" s="120"/>
      <c r="W182" s="117"/>
      <c r="X182" s="117">
        <f t="shared" si="2"/>
        <v>0</v>
      </c>
      <c r="Y182" s="97"/>
    </row>
    <row r="183" spans="1:25" ht="15.75">
      <c r="A183" s="469"/>
      <c r="B183" s="469"/>
      <c r="C183" s="469"/>
      <c r="D183" s="106">
        <v>174</v>
      </c>
      <c r="E183" s="106" t="s">
        <v>281</v>
      </c>
      <c r="F183" s="120"/>
      <c r="G183" s="120"/>
      <c r="H183" s="120"/>
      <c r="I183" s="120"/>
      <c r="J183" s="116">
        <f t="shared" si="15"/>
        <v>0</v>
      </c>
      <c r="K183" s="120"/>
      <c r="L183" s="120"/>
      <c r="M183" s="120"/>
      <c r="N183" s="120"/>
      <c r="O183" s="120"/>
      <c r="P183" s="116">
        <f t="shared" si="16"/>
        <v>0</v>
      </c>
      <c r="Q183" s="120"/>
      <c r="R183" s="120"/>
      <c r="S183" s="122"/>
      <c r="T183" s="122"/>
      <c r="U183" s="120"/>
      <c r="V183" s="120"/>
      <c r="W183" s="117"/>
      <c r="X183" s="117">
        <f t="shared" si="2"/>
        <v>0</v>
      </c>
      <c r="Y183" s="97"/>
    </row>
    <row r="184" spans="1:25" ht="236.25">
      <c r="A184" s="469"/>
      <c r="B184" s="476" t="s">
        <v>282</v>
      </c>
      <c r="C184" s="476" t="s">
        <v>230</v>
      </c>
      <c r="D184" s="106">
        <v>175</v>
      </c>
      <c r="E184" s="106" t="s">
        <v>231</v>
      </c>
      <c r="F184" s="167"/>
      <c r="G184" s="167"/>
      <c r="H184" s="167"/>
      <c r="I184" s="167"/>
      <c r="J184" s="116">
        <f t="shared" si="15"/>
        <v>0</v>
      </c>
      <c r="K184" s="168"/>
      <c r="L184" s="168"/>
      <c r="M184" s="167"/>
      <c r="N184" s="167"/>
      <c r="O184" s="167"/>
      <c r="P184" s="116">
        <f t="shared" si="16"/>
        <v>0</v>
      </c>
      <c r="Q184" s="167"/>
      <c r="R184" s="167"/>
      <c r="S184" s="168"/>
      <c r="T184" s="168">
        <v>58.63</v>
      </c>
      <c r="U184" s="168"/>
      <c r="V184" s="168"/>
      <c r="W184" s="117"/>
      <c r="X184" s="117">
        <f t="shared" si="2"/>
        <v>58.63</v>
      </c>
      <c r="Y184" s="97" t="s">
        <v>689</v>
      </c>
    </row>
    <row r="185" spans="1:25" ht="409.5">
      <c r="A185" s="469"/>
      <c r="B185" s="469"/>
      <c r="C185" s="469"/>
      <c r="D185" s="106">
        <v>176</v>
      </c>
      <c r="E185" s="106" t="s">
        <v>232</v>
      </c>
      <c r="F185" s="120"/>
      <c r="G185" s="120"/>
      <c r="H185" s="120"/>
      <c r="I185" s="120"/>
      <c r="J185" s="116">
        <f t="shared" si="15"/>
        <v>0</v>
      </c>
      <c r="K185" s="120"/>
      <c r="L185" s="120"/>
      <c r="M185" s="120"/>
      <c r="N185" s="120"/>
      <c r="O185" s="120"/>
      <c r="P185" s="116">
        <f t="shared" si="16"/>
        <v>0</v>
      </c>
      <c r="Q185" s="121"/>
      <c r="R185" s="121">
        <v>15</v>
      </c>
      <c r="S185" s="121"/>
      <c r="T185" s="121">
        <v>24.06</v>
      </c>
      <c r="U185" s="120"/>
      <c r="V185" s="120"/>
      <c r="W185" s="117"/>
      <c r="X185" s="117">
        <f t="shared" si="2"/>
        <v>39.06</v>
      </c>
      <c r="Y185" s="135" t="s">
        <v>690</v>
      </c>
    </row>
    <row r="186" spans="1:25" ht="29.25" hidden="1" customHeight="1">
      <c r="A186" s="469"/>
      <c r="B186" s="469"/>
      <c r="C186" s="469"/>
      <c r="D186" s="106">
        <v>177</v>
      </c>
      <c r="E186" s="106" t="s">
        <v>233</v>
      </c>
      <c r="F186" s="120"/>
      <c r="G186" s="120"/>
      <c r="H186" s="120"/>
      <c r="I186" s="120"/>
      <c r="J186" s="116">
        <f t="shared" si="15"/>
        <v>0</v>
      </c>
      <c r="K186" s="120"/>
      <c r="L186" s="120"/>
      <c r="M186" s="120"/>
      <c r="N186" s="120"/>
      <c r="O186" s="120"/>
      <c r="P186" s="116">
        <f t="shared" si="16"/>
        <v>0</v>
      </c>
      <c r="Q186" s="120"/>
      <c r="R186" s="120"/>
      <c r="S186" s="120"/>
      <c r="T186" s="120"/>
      <c r="U186" s="120"/>
      <c r="V186" s="120"/>
      <c r="W186" s="117"/>
      <c r="X186" s="117">
        <f t="shared" si="2"/>
        <v>0</v>
      </c>
      <c r="Y186" s="135"/>
    </row>
    <row r="187" spans="1:25" ht="47.25">
      <c r="A187" s="469"/>
      <c r="B187" s="476" t="s">
        <v>283</v>
      </c>
      <c r="C187" s="476" t="s">
        <v>284</v>
      </c>
      <c r="D187" s="106">
        <v>178</v>
      </c>
      <c r="E187" s="106" t="s">
        <v>285</v>
      </c>
      <c r="F187" s="120"/>
      <c r="G187" s="120"/>
      <c r="H187" s="120"/>
      <c r="I187" s="120"/>
      <c r="J187" s="116">
        <f t="shared" si="15"/>
        <v>0</v>
      </c>
      <c r="K187" s="120"/>
      <c r="L187" s="120"/>
      <c r="M187" s="120"/>
      <c r="N187" s="120"/>
      <c r="O187" s="120"/>
      <c r="P187" s="116">
        <f t="shared" si="16"/>
        <v>0</v>
      </c>
      <c r="Q187" s="120"/>
      <c r="R187" s="120"/>
      <c r="S187" s="120"/>
      <c r="T187" s="120"/>
      <c r="U187" s="120"/>
      <c r="V187" s="120"/>
      <c r="W187" s="117"/>
      <c r="X187" s="117">
        <f t="shared" si="2"/>
        <v>0</v>
      </c>
      <c r="Y187" s="97"/>
    </row>
    <row r="188" spans="1:25" ht="15.75">
      <c r="A188" s="469"/>
      <c r="B188" s="469"/>
      <c r="C188" s="469"/>
      <c r="D188" s="106">
        <v>179</v>
      </c>
      <c r="E188" s="106" t="s">
        <v>125</v>
      </c>
      <c r="F188" s="120"/>
      <c r="G188" s="120"/>
      <c r="H188" s="120"/>
      <c r="I188" s="120"/>
      <c r="J188" s="116">
        <f t="shared" si="15"/>
        <v>0</v>
      </c>
      <c r="K188" s="120"/>
      <c r="L188" s="120"/>
      <c r="M188" s="120"/>
      <c r="N188" s="120"/>
      <c r="O188" s="120"/>
      <c r="P188" s="116">
        <f t="shared" si="16"/>
        <v>0</v>
      </c>
      <c r="Q188" s="120"/>
      <c r="R188" s="120"/>
      <c r="S188" s="120"/>
      <c r="T188" s="120"/>
      <c r="U188" s="120"/>
      <c r="V188" s="120"/>
      <c r="W188" s="117"/>
      <c r="X188" s="117">
        <f t="shared" si="2"/>
        <v>0</v>
      </c>
      <c r="Y188" s="252"/>
    </row>
    <row r="189" spans="1:25" ht="31.5">
      <c r="A189" s="469"/>
      <c r="B189" s="469"/>
      <c r="C189" s="469"/>
      <c r="D189" s="106">
        <v>180</v>
      </c>
      <c r="E189" s="106" t="s">
        <v>286</v>
      </c>
      <c r="F189" s="120"/>
      <c r="G189" s="120"/>
      <c r="H189" s="120"/>
      <c r="I189" s="120"/>
      <c r="J189" s="116">
        <f t="shared" si="15"/>
        <v>0</v>
      </c>
      <c r="K189" s="120"/>
      <c r="L189" s="120"/>
      <c r="M189" s="120"/>
      <c r="N189" s="120"/>
      <c r="O189" s="122"/>
      <c r="P189" s="117">
        <f t="shared" si="16"/>
        <v>0</v>
      </c>
      <c r="Q189" s="120"/>
      <c r="R189" s="120"/>
      <c r="S189" s="121"/>
      <c r="T189" s="121"/>
      <c r="U189" s="120"/>
      <c r="V189" s="120"/>
      <c r="W189" s="117"/>
      <c r="X189" s="117">
        <f t="shared" si="2"/>
        <v>0</v>
      </c>
      <c r="Y189" s="252"/>
    </row>
    <row r="190" spans="1:25" ht="31.5">
      <c r="A190" s="469"/>
      <c r="B190" s="469"/>
      <c r="C190" s="469"/>
      <c r="D190" s="106">
        <v>181</v>
      </c>
      <c r="E190" s="106" t="s">
        <v>287</v>
      </c>
      <c r="F190" s="120"/>
      <c r="G190" s="120"/>
      <c r="H190" s="120"/>
      <c r="I190" s="120"/>
      <c r="J190" s="116">
        <f t="shared" si="15"/>
        <v>0</v>
      </c>
      <c r="K190" s="120"/>
      <c r="L190" s="120"/>
      <c r="M190" s="120"/>
      <c r="N190" s="120"/>
      <c r="O190" s="120"/>
      <c r="P190" s="116">
        <f t="shared" si="16"/>
        <v>0</v>
      </c>
      <c r="Q190" s="120"/>
      <c r="R190" s="120"/>
      <c r="S190" s="120"/>
      <c r="T190" s="120"/>
      <c r="U190" s="120"/>
      <c r="V190" s="120"/>
      <c r="W190" s="117"/>
      <c r="X190" s="117">
        <f t="shared" si="2"/>
        <v>0</v>
      </c>
      <c r="Y190" s="252"/>
    </row>
    <row r="191" spans="1:25" ht="173.25">
      <c r="A191" s="469"/>
      <c r="B191" s="469"/>
      <c r="C191" s="469"/>
      <c r="D191" s="106">
        <v>182</v>
      </c>
      <c r="E191" s="106" t="s">
        <v>288</v>
      </c>
      <c r="F191" s="120"/>
      <c r="G191" s="120"/>
      <c r="H191" s="120"/>
      <c r="I191" s="120"/>
      <c r="J191" s="116">
        <f t="shared" si="15"/>
        <v>0</v>
      </c>
      <c r="K191" s="120"/>
      <c r="L191" s="120"/>
      <c r="M191" s="120"/>
      <c r="N191" s="120"/>
      <c r="O191" s="120"/>
      <c r="P191" s="116">
        <f t="shared" si="16"/>
        <v>0</v>
      </c>
      <c r="Q191" s="120"/>
      <c r="R191" s="120"/>
      <c r="S191" s="122"/>
      <c r="T191" s="167">
        <f>(1*0.65*12)+(1*0.5*6)+(1*0.5*12)</f>
        <v>16.8</v>
      </c>
      <c r="U191" s="120"/>
      <c r="V191" s="120"/>
      <c r="W191" s="117"/>
      <c r="X191" s="117">
        <f t="shared" si="2"/>
        <v>16.8</v>
      </c>
      <c r="Y191" s="319" t="s">
        <v>711</v>
      </c>
    </row>
    <row r="192" spans="1:25" ht="63" hidden="1">
      <c r="A192" s="469"/>
      <c r="B192" s="469"/>
      <c r="C192" s="469"/>
      <c r="D192" s="106">
        <v>183</v>
      </c>
      <c r="E192" s="106" t="s">
        <v>289</v>
      </c>
      <c r="F192" s="120"/>
      <c r="G192" s="120"/>
      <c r="H192" s="120"/>
      <c r="I192" s="120"/>
      <c r="J192" s="116">
        <f t="shared" si="15"/>
        <v>0</v>
      </c>
      <c r="K192" s="120"/>
      <c r="L192" s="120"/>
      <c r="M192" s="120"/>
      <c r="N192" s="120"/>
      <c r="O192" s="120"/>
      <c r="P192" s="116">
        <f t="shared" si="16"/>
        <v>0</v>
      </c>
      <c r="Q192" s="120"/>
      <c r="R192" s="120"/>
      <c r="S192" s="121"/>
      <c r="T192" s="121"/>
      <c r="U192" s="120"/>
      <c r="V192" s="120"/>
      <c r="W192" s="117"/>
      <c r="X192" s="117">
        <f t="shared" si="2"/>
        <v>0</v>
      </c>
      <c r="Y192" s="252"/>
    </row>
    <row r="193" spans="1:25" ht="63">
      <c r="A193" s="469"/>
      <c r="B193" s="106" t="s">
        <v>290</v>
      </c>
      <c r="C193" s="106" t="s">
        <v>291</v>
      </c>
      <c r="D193" s="106">
        <v>184</v>
      </c>
      <c r="E193" s="106" t="s">
        <v>292</v>
      </c>
      <c r="F193" s="120"/>
      <c r="G193" s="120"/>
      <c r="H193" s="120"/>
      <c r="I193" s="120"/>
      <c r="J193" s="116">
        <f t="shared" si="15"/>
        <v>0</v>
      </c>
      <c r="K193" s="120"/>
      <c r="L193" s="120"/>
      <c r="M193" s="120"/>
      <c r="N193" s="120"/>
      <c r="O193" s="120"/>
      <c r="P193" s="116">
        <f t="shared" si="16"/>
        <v>0</v>
      </c>
      <c r="Q193" s="120"/>
      <c r="R193" s="120"/>
      <c r="S193" s="122"/>
      <c r="T193" s="122"/>
      <c r="U193" s="120"/>
      <c r="V193" s="120"/>
      <c r="W193" s="117"/>
      <c r="X193" s="117">
        <f t="shared" si="2"/>
        <v>0</v>
      </c>
      <c r="Y193" s="252"/>
    </row>
    <row r="194" spans="1:25" ht="31.5">
      <c r="A194" s="469"/>
      <c r="B194" s="476" t="s">
        <v>293</v>
      </c>
      <c r="C194" s="476" t="s">
        <v>235</v>
      </c>
      <c r="D194" s="106">
        <v>185</v>
      </c>
      <c r="E194" s="106" t="s">
        <v>236</v>
      </c>
      <c r="F194" s="120"/>
      <c r="G194" s="120"/>
      <c r="H194" s="120"/>
      <c r="I194" s="120"/>
      <c r="J194" s="116">
        <f t="shared" si="15"/>
        <v>0</v>
      </c>
      <c r="K194" s="120"/>
      <c r="L194" s="120"/>
      <c r="M194" s="120"/>
      <c r="N194" s="120"/>
      <c r="O194" s="120"/>
      <c r="P194" s="116">
        <f t="shared" si="16"/>
        <v>0</v>
      </c>
      <c r="Q194" s="120"/>
      <c r="R194" s="120"/>
      <c r="S194" s="120"/>
      <c r="T194" s="120">
        <v>3297.5005399999991</v>
      </c>
      <c r="U194" s="120"/>
      <c r="V194" s="120"/>
      <c r="W194" s="117"/>
      <c r="X194" s="117">
        <f t="shared" si="2"/>
        <v>3297.5005399999991</v>
      </c>
      <c r="Y194" s="98" t="s">
        <v>992</v>
      </c>
    </row>
    <row r="195" spans="1:25" ht="330.75">
      <c r="A195" s="469"/>
      <c r="B195" s="469"/>
      <c r="C195" s="469"/>
      <c r="D195" s="106">
        <v>186</v>
      </c>
      <c r="E195" s="106" t="s">
        <v>237</v>
      </c>
      <c r="F195" s="120">
        <v>0.10349999999999999</v>
      </c>
      <c r="G195" s="120"/>
      <c r="H195" s="120"/>
      <c r="I195" s="120"/>
      <c r="J195" s="116">
        <f t="shared" si="15"/>
        <v>0</v>
      </c>
      <c r="K195" s="120"/>
      <c r="L195" s="120"/>
      <c r="M195" s="120"/>
      <c r="N195" s="120"/>
      <c r="O195" s="120"/>
      <c r="P195" s="116">
        <f t="shared" si="16"/>
        <v>0</v>
      </c>
      <c r="Q195" s="120"/>
      <c r="R195" s="120"/>
      <c r="S195" s="121"/>
      <c r="T195" s="121">
        <f>7.4+11.894</f>
        <v>19.294</v>
      </c>
      <c r="U195" s="120"/>
      <c r="V195" s="120"/>
      <c r="W195" s="117"/>
      <c r="X195" s="117">
        <f t="shared" si="2"/>
        <v>19.397500000000001</v>
      </c>
      <c r="Y195" s="97" t="s">
        <v>970</v>
      </c>
    </row>
    <row r="196" spans="1:25" ht="31.5">
      <c r="A196" s="469"/>
      <c r="B196" s="469"/>
      <c r="C196" s="469"/>
      <c r="D196" s="106">
        <v>187</v>
      </c>
      <c r="E196" s="106" t="s">
        <v>294</v>
      </c>
      <c r="F196" s="120"/>
      <c r="G196" s="120"/>
      <c r="H196" s="120"/>
      <c r="I196" s="120"/>
      <c r="J196" s="116">
        <f t="shared" si="15"/>
        <v>0</v>
      </c>
      <c r="K196" s="120"/>
      <c r="L196" s="120"/>
      <c r="M196" s="120"/>
      <c r="N196" s="120"/>
      <c r="O196" s="120"/>
      <c r="P196" s="116">
        <f t="shared" si="16"/>
        <v>0</v>
      </c>
      <c r="Q196" s="120"/>
      <c r="R196" s="120"/>
      <c r="S196" s="120"/>
      <c r="T196" s="120">
        <v>1110.69</v>
      </c>
      <c r="U196" s="120"/>
      <c r="V196" s="120"/>
      <c r="W196" s="117"/>
      <c r="X196" s="117">
        <f t="shared" si="2"/>
        <v>1110.69</v>
      </c>
      <c r="Y196" s="98" t="s">
        <v>993</v>
      </c>
    </row>
    <row r="197" spans="1:25" ht="15.75">
      <c r="A197" s="469"/>
      <c r="B197" s="469"/>
      <c r="C197" s="469"/>
      <c r="D197" s="106">
        <v>188</v>
      </c>
      <c r="E197" s="106" t="s">
        <v>238</v>
      </c>
      <c r="F197" s="120"/>
      <c r="G197" s="120"/>
      <c r="H197" s="120"/>
      <c r="I197" s="120"/>
      <c r="J197" s="116">
        <f t="shared" si="15"/>
        <v>0</v>
      </c>
      <c r="K197" s="120"/>
      <c r="L197" s="120"/>
      <c r="M197" s="120"/>
      <c r="N197" s="120"/>
      <c r="O197" s="120"/>
      <c r="P197" s="116">
        <f t="shared" si="16"/>
        <v>0</v>
      </c>
      <c r="Q197" s="120"/>
      <c r="R197" s="120"/>
      <c r="S197" s="120"/>
      <c r="T197" s="120"/>
      <c r="U197" s="120"/>
      <c r="V197" s="120"/>
      <c r="W197" s="117"/>
      <c r="X197" s="117">
        <f t="shared" si="2"/>
        <v>0</v>
      </c>
      <c r="Y197" s="97"/>
    </row>
    <row r="198" spans="1:25" ht="47.25">
      <c r="A198" s="469"/>
      <c r="B198" s="469"/>
      <c r="C198" s="469"/>
      <c r="D198" s="106">
        <v>189</v>
      </c>
      <c r="E198" s="106" t="s">
        <v>295</v>
      </c>
      <c r="F198" s="120"/>
      <c r="G198" s="120"/>
      <c r="H198" s="120"/>
      <c r="I198" s="120"/>
      <c r="J198" s="116">
        <f t="shared" si="15"/>
        <v>0</v>
      </c>
      <c r="K198" s="120"/>
      <c r="L198" s="120"/>
      <c r="M198" s="120"/>
      <c r="N198" s="120"/>
      <c r="O198" s="120"/>
      <c r="P198" s="116">
        <f t="shared" si="16"/>
        <v>0</v>
      </c>
      <c r="Q198" s="120"/>
      <c r="R198" s="120"/>
      <c r="S198" s="120"/>
      <c r="T198" s="120"/>
      <c r="U198" s="120"/>
      <c r="V198" s="120"/>
      <c r="W198" s="117"/>
      <c r="X198" s="117">
        <f t="shared" si="2"/>
        <v>0</v>
      </c>
      <c r="Y198" s="97"/>
    </row>
    <row r="199" spans="1:25" ht="47.25" hidden="1">
      <c r="A199" s="469"/>
      <c r="B199" s="469"/>
      <c r="C199" s="469"/>
      <c r="D199" s="106">
        <v>190</v>
      </c>
      <c r="E199" s="106" t="s">
        <v>296</v>
      </c>
      <c r="F199" s="120"/>
      <c r="G199" s="120"/>
      <c r="H199" s="120"/>
      <c r="I199" s="120"/>
      <c r="J199" s="116">
        <f t="shared" si="15"/>
        <v>0</v>
      </c>
      <c r="K199" s="120"/>
      <c r="L199" s="120"/>
      <c r="M199" s="120"/>
      <c r="N199" s="120"/>
      <c r="O199" s="120"/>
      <c r="P199" s="116">
        <f t="shared" si="16"/>
        <v>0</v>
      </c>
      <c r="Q199" s="120"/>
      <c r="R199" s="120"/>
      <c r="S199" s="121"/>
      <c r="T199" s="121"/>
      <c r="U199" s="120"/>
      <c r="V199" s="120"/>
      <c r="W199" s="117"/>
      <c r="X199" s="117">
        <f t="shared" si="2"/>
        <v>0</v>
      </c>
      <c r="Y199" s="97"/>
    </row>
    <row r="200" spans="1:25" ht="31.5">
      <c r="A200" s="469"/>
      <c r="B200" s="476" t="s">
        <v>297</v>
      </c>
      <c r="C200" s="476" t="s">
        <v>298</v>
      </c>
      <c r="D200" s="106">
        <v>191</v>
      </c>
      <c r="E200" s="106" t="s">
        <v>299</v>
      </c>
      <c r="F200" s="120"/>
      <c r="G200" s="120"/>
      <c r="H200" s="120"/>
      <c r="I200" s="120"/>
      <c r="J200" s="116">
        <f t="shared" si="15"/>
        <v>0</v>
      </c>
      <c r="K200" s="120"/>
      <c r="L200" s="120"/>
      <c r="M200" s="120"/>
      <c r="N200" s="120"/>
      <c r="O200" s="120"/>
      <c r="P200" s="116">
        <f t="shared" si="16"/>
        <v>0</v>
      </c>
      <c r="Q200" s="120"/>
      <c r="R200" s="120"/>
      <c r="S200" s="120"/>
      <c r="T200" s="120">
        <v>7</v>
      </c>
      <c r="U200" s="120"/>
      <c r="V200" s="120"/>
      <c r="W200" s="117"/>
      <c r="X200" s="117">
        <f t="shared" si="2"/>
        <v>7</v>
      </c>
      <c r="Y200" s="135" t="s">
        <v>1193</v>
      </c>
    </row>
    <row r="201" spans="1:25" ht="31.5">
      <c r="A201" s="469"/>
      <c r="B201" s="469"/>
      <c r="C201" s="469"/>
      <c r="D201" s="106">
        <v>192</v>
      </c>
      <c r="E201" s="106" t="s">
        <v>300</v>
      </c>
      <c r="F201" s="120"/>
      <c r="G201" s="120"/>
      <c r="H201" s="120"/>
      <c r="I201" s="121"/>
      <c r="J201" s="125">
        <f t="shared" si="15"/>
        <v>0</v>
      </c>
      <c r="K201" s="120"/>
      <c r="L201" s="120"/>
      <c r="M201" s="120"/>
      <c r="N201" s="120"/>
      <c r="O201" s="120"/>
      <c r="P201" s="116">
        <f t="shared" si="16"/>
        <v>0</v>
      </c>
      <c r="Q201" s="120"/>
      <c r="R201" s="120"/>
      <c r="S201" s="122"/>
      <c r="T201" s="122"/>
      <c r="U201" s="120"/>
      <c r="V201" s="120"/>
      <c r="W201" s="117"/>
      <c r="X201" s="117">
        <f t="shared" si="2"/>
        <v>0</v>
      </c>
      <c r="Y201" s="135"/>
    </row>
    <row r="202" spans="1:25" ht="31.5">
      <c r="A202" s="469"/>
      <c r="B202" s="476" t="s">
        <v>301</v>
      </c>
      <c r="C202" s="476" t="s">
        <v>241</v>
      </c>
      <c r="D202" s="106">
        <v>193</v>
      </c>
      <c r="E202" s="106" t="s">
        <v>302</v>
      </c>
      <c r="F202" s="120"/>
      <c r="G202" s="120"/>
      <c r="H202" s="120"/>
      <c r="I202" s="120"/>
      <c r="J202" s="116">
        <f t="shared" si="15"/>
        <v>0</v>
      </c>
      <c r="K202" s="120"/>
      <c r="L202" s="120"/>
      <c r="M202" s="120"/>
      <c r="N202" s="120"/>
      <c r="O202" s="120"/>
      <c r="P202" s="116">
        <f t="shared" si="16"/>
        <v>0</v>
      </c>
      <c r="Q202" s="120"/>
      <c r="R202" s="120"/>
      <c r="S202" s="122"/>
      <c r="T202" s="122"/>
      <c r="U202" s="121"/>
      <c r="V202" s="121"/>
      <c r="W202" s="117"/>
      <c r="X202" s="117">
        <f t="shared" si="2"/>
        <v>0</v>
      </c>
      <c r="Y202" s="97"/>
    </row>
    <row r="203" spans="1:25" ht="31.5">
      <c r="A203" s="469"/>
      <c r="B203" s="469"/>
      <c r="C203" s="469"/>
      <c r="D203" s="106">
        <v>194</v>
      </c>
      <c r="E203" s="106" t="s">
        <v>242</v>
      </c>
      <c r="F203" s="120"/>
      <c r="G203" s="120"/>
      <c r="H203" s="120"/>
      <c r="I203" s="120"/>
      <c r="J203" s="116">
        <f t="shared" si="15"/>
        <v>0</v>
      </c>
      <c r="K203" s="120"/>
      <c r="L203" s="120"/>
      <c r="M203" s="120"/>
      <c r="N203" s="120"/>
      <c r="O203" s="120"/>
      <c r="P203" s="116">
        <f t="shared" si="16"/>
        <v>0</v>
      </c>
      <c r="Q203" s="120"/>
      <c r="R203" s="120"/>
      <c r="S203" s="120"/>
      <c r="T203" s="120">
        <v>108.75</v>
      </c>
      <c r="U203" s="120"/>
      <c r="V203" s="120"/>
      <c r="W203" s="117"/>
      <c r="X203" s="117">
        <f t="shared" si="2"/>
        <v>108.75</v>
      </c>
      <c r="Y203" s="98" t="s">
        <v>1221</v>
      </c>
    </row>
    <row r="204" spans="1:25" ht="47.25" hidden="1">
      <c r="A204" s="469"/>
      <c r="B204" s="476" t="s">
        <v>303</v>
      </c>
      <c r="C204" s="476" t="s">
        <v>304</v>
      </c>
      <c r="D204" s="106">
        <v>195</v>
      </c>
      <c r="E204" s="106" t="s">
        <v>305</v>
      </c>
      <c r="F204" s="120"/>
      <c r="G204" s="120"/>
      <c r="H204" s="120"/>
      <c r="I204" s="120"/>
      <c r="J204" s="116">
        <f t="shared" si="15"/>
        <v>0</v>
      </c>
      <c r="K204" s="120"/>
      <c r="L204" s="120"/>
      <c r="M204" s="120"/>
      <c r="N204" s="120"/>
      <c r="O204" s="120"/>
      <c r="P204" s="116">
        <f t="shared" si="16"/>
        <v>0</v>
      </c>
      <c r="Q204" s="120"/>
      <c r="R204" s="120"/>
      <c r="S204" s="122"/>
      <c r="T204" s="122"/>
      <c r="U204" s="120"/>
      <c r="V204" s="120"/>
      <c r="W204" s="117"/>
      <c r="X204" s="117">
        <f t="shared" si="2"/>
        <v>0</v>
      </c>
      <c r="Y204" s="97"/>
    </row>
    <row r="205" spans="1:25" ht="31.5" hidden="1">
      <c r="A205" s="469"/>
      <c r="B205" s="469"/>
      <c r="C205" s="469"/>
      <c r="D205" s="106">
        <v>196</v>
      </c>
      <c r="E205" s="106" t="s">
        <v>306</v>
      </c>
      <c r="F205" s="120"/>
      <c r="G205" s="120"/>
      <c r="H205" s="120"/>
      <c r="I205" s="120"/>
      <c r="J205" s="116">
        <f t="shared" si="15"/>
        <v>0</v>
      </c>
      <c r="K205" s="120"/>
      <c r="L205" s="120"/>
      <c r="M205" s="120"/>
      <c r="N205" s="120"/>
      <c r="O205" s="120"/>
      <c r="P205" s="116">
        <f t="shared" si="16"/>
        <v>0</v>
      </c>
      <c r="Q205" s="120"/>
      <c r="R205" s="120"/>
      <c r="S205" s="120"/>
      <c r="T205" s="120"/>
      <c r="U205" s="120"/>
      <c r="V205" s="120"/>
      <c r="W205" s="117"/>
      <c r="X205" s="117">
        <f t="shared" si="2"/>
        <v>0</v>
      </c>
      <c r="Y205" s="97"/>
    </row>
    <row r="206" spans="1:25" ht="15.75" hidden="1">
      <c r="A206" s="469"/>
      <c r="B206" s="469"/>
      <c r="C206" s="469"/>
      <c r="D206" s="106">
        <v>197</v>
      </c>
      <c r="E206" s="106" t="s">
        <v>307</v>
      </c>
      <c r="F206" s="135"/>
      <c r="G206" s="135"/>
      <c r="H206" s="135"/>
      <c r="I206" s="135"/>
      <c r="J206" s="116">
        <f t="shared" si="15"/>
        <v>0</v>
      </c>
      <c r="K206" s="135"/>
      <c r="L206" s="135"/>
      <c r="M206" s="135"/>
      <c r="N206" s="135"/>
      <c r="O206" s="135"/>
      <c r="P206" s="116">
        <f t="shared" si="16"/>
        <v>0</v>
      </c>
      <c r="Q206" s="135"/>
      <c r="R206" s="135"/>
      <c r="S206" s="170"/>
      <c r="T206" s="170"/>
      <c r="U206" s="129"/>
      <c r="V206" s="129"/>
      <c r="W206" s="171"/>
      <c r="X206" s="117">
        <f t="shared" si="2"/>
        <v>0</v>
      </c>
      <c r="Y206" s="97"/>
    </row>
    <row r="207" spans="1:25" ht="63" hidden="1">
      <c r="A207" s="469"/>
      <c r="B207" s="106" t="s">
        <v>308</v>
      </c>
      <c r="C207" s="106" t="s">
        <v>246</v>
      </c>
      <c r="D207" s="106">
        <v>198</v>
      </c>
      <c r="E207" s="106" t="s">
        <v>247</v>
      </c>
      <c r="F207" s="120"/>
      <c r="G207" s="120"/>
      <c r="H207" s="120"/>
      <c r="I207" s="120"/>
      <c r="J207" s="116">
        <f t="shared" si="15"/>
        <v>0</v>
      </c>
      <c r="K207" s="120"/>
      <c r="L207" s="120"/>
      <c r="M207" s="120"/>
      <c r="N207" s="120"/>
      <c r="O207" s="120"/>
      <c r="P207" s="116">
        <f t="shared" si="16"/>
        <v>0</v>
      </c>
      <c r="Q207" s="120"/>
      <c r="R207" s="120"/>
      <c r="S207" s="120"/>
      <c r="T207" s="120"/>
      <c r="U207" s="120"/>
      <c r="V207" s="120"/>
      <c r="W207" s="117"/>
      <c r="X207" s="117">
        <f t="shared" si="2"/>
        <v>0</v>
      </c>
      <c r="Y207" s="97"/>
    </row>
    <row r="208" spans="1:25" ht="63">
      <c r="A208" s="469"/>
      <c r="B208" s="106" t="s">
        <v>309</v>
      </c>
      <c r="C208" s="106" t="s">
        <v>249</v>
      </c>
      <c r="D208" s="106">
        <v>199</v>
      </c>
      <c r="E208" s="106" t="s">
        <v>250</v>
      </c>
      <c r="F208" s="151"/>
      <c r="G208" s="151"/>
      <c r="H208" s="151"/>
      <c r="I208" s="151"/>
      <c r="J208" s="116">
        <f t="shared" si="15"/>
        <v>0</v>
      </c>
      <c r="K208" s="151"/>
      <c r="L208" s="151"/>
      <c r="M208" s="151"/>
      <c r="N208" s="151"/>
      <c r="O208" s="151"/>
      <c r="P208" s="116">
        <f t="shared" si="16"/>
        <v>0</v>
      </c>
      <c r="Q208" s="151"/>
      <c r="R208" s="151"/>
      <c r="S208" s="151"/>
      <c r="T208" s="151">
        <v>118</v>
      </c>
      <c r="U208" s="151"/>
      <c r="V208" s="151"/>
      <c r="W208" s="117"/>
      <c r="X208" s="117">
        <f t="shared" si="2"/>
        <v>118</v>
      </c>
      <c r="Y208" s="98" t="s">
        <v>984</v>
      </c>
    </row>
    <row r="209" spans="1:25" ht="63">
      <c r="A209" s="469"/>
      <c r="B209" s="106" t="s">
        <v>310</v>
      </c>
      <c r="C209" s="172" t="s">
        <v>311</v>
      </c>
      <c r="D209" s="106">
        <v>200</v>
      </c>
      <c r="E209" s="106" t="s">
        <v>312</v>
      </c>
      <c r="F209" s="173"/>
      <c r="G209" s="173"/>
      <c r="H209" s="173"/>
      <c r="I209" s="173"/>
      <c r="J209" s="116">
        <f t="shared" si="15"/>
        <v>0</v>
      </c>
      <c r="K209" s="173"/>
      <c r="L209" s="173"/>
      <c r="M209" s="173"/>
      <c r="N209" s="173"/>
      <c r="O209" s="173"/>
      <c r="P209" s="116">
        <f t="shared" si="16"/>
        <v>0</v>
      </c>
      <c r="Q209" s="173"/>
      <c r="R209" s="173"/>
      <c r="S209" s="173"/>
      <c r="T209" s="173"/>
      <c r="U209" s="173"/>
      <c r="V209" s="173"/>
      <c r="W209" s="117"/>
      <c r="X209" s="117">
        <f t="shared" si="2"/>
        <v>0</v>
      </c>
      <c r="Y209" s="135"/>
    </row>
    <row r="210" spans="1:25" ht="63">
      <c r="A210" s="469"/>
      <c r="B210" s="174" t="s">
        <v>313</v>
      </c>
      <c r="C210" s="174" t="s">
        <v>314</v>
      </c>
      <c r="D210" s="175">
        <v>201</v>
      </c>
      <c r="E210" s="176" t="s">
        <v>315</v>
      </c>
      <c r="F210" s="173"/>
      <c r="G210" s="173"/>
      <c r="H210" s="173"/>
      <c r="I210" s="173"/>
      <c r="J210" s="116">
        <f t="shared" si="15"/>
        <v>0</v>
      </c>
      <c r="K210" s="173"/>
      <c r="L210" s="173"/>
      <c r="M210" s="173"/>
      <c r="N210" s="173"/>
      <c r="O210" s="173"/>
      <c r="P210" s="116">
        <f t="shared" si="16"/>
        <v>0</v>
      </c>
      <c r="Q210" s="173"/>
      <c r="R210" s="173"/>
      <c r="S210" s="173"/>
      <c r="T210" s="173">
        <v>43.364199999999997</v>
      </c>
      <c r="U210" s="173"/>
      <c r="V210" s="173"/>
      <c r="W210" s="117"/>
      <c r="X210" s="117">
        <f t="shared" si="2"/>
        <v>43.364199999999997</v>
      </c>
      <c r="Y210" s="173" t="s">
        <v>1162</v>
      </c>
    </row>
    <row r="211" spans="1:25" ht="63">
      <c r="A211" s="469"/>
      <c r="B211" s="174" t="s">
        <v>316</v>
      </c>
      <c r="C211" s="174" t="s">
        <v>317</v>
      </c>
      <c r="D211" s="175">
        <v>202</v>
      </c>
      <c r="E211" s="176" t="s">
        <v>318</v>
      </c>
      <c r="F211" s="173"/>
      <c r="G211" s="173"/>
      <c r="H211" s="173"/>
      <c r="I211" s="173"/>
      <c r="J211" s="116">
        <f t="shared" si="15"/>
        <v>0</v>
      </c>
      <c r="K211" s="173"/>
      <c r="L211" s="173"/>
      <c r="M211" s="173"/>
      <c r="N211" s="173"/>
      <c r="O211" s="173"/>
      <c r="P211" s="116">
        <f t="shared" si="16"/>
        <v>0</v>
      </c>
      <c r="Q211" s="173"/>
      <c r="R211" s="173"/>
      <c r="S211" s="173"/>
      <c r="T211" s="173">
        <v>1251.2650000000001</v>
      </c>
      <c r="U211" s="173"/>
      <c r="V211" s="173"/>
      <c r="W211" s="117"/>
      <c r="X211" s="117">
        <f t="shared" si="2"/>
        <v>1251.2650000000001</v>
      </c>
      <c r="Y211" s="173" t="s">
        <v>559</v>
      </c>
    </row>
    <row r="212" spans="1:25" ht="78.75">
      <c r="A212" s="469"/>
      <c r="B212" s="174" t="s">
        <v>319</v>
      </c>
      <c r="C212" s="174" t="s">
        <v>320</v>
      </c>
      <c r="D212" s="175">
        <v>203</v>
      </c>
      <c r="E212" s="176" t="s">
        <v>321</v>
      </c>
      <c r="F212" s="173"/>
      <c r="G212" s="173"/>
      <c r="H212" s="173"/>
      <c r="I212" s="173"/>
      <c r="J212" s="116">
        <f t="shared" si="15"/>
        <v>0</v>
      </c>
      <c r="K212" s="173"/>
      <c r="L212" s="173"/>
      <c r="M212" s="173"/>
      <c r="N212" s="173"/>
      <c r="O212" s="173"/>
      <c r="P212" s="116">
        <f t="shared" si="16"/>
        <v>0</v>
      </c>
      <c r="Q212" s="173"/>
      <c r="R212" s="173"/>
      <c r="S212" s="173"/>
      <c r="T212" s="173"/>
      <c r="U212" s="173"/>
      <c r="V212" s="173"/>
      <c r="W212" s="117"/>
      <c r="X212" s="117">
        <f t="shared" si="2"/>
        <v>0</v>
      </c>
      <c r="Y212" s="97"/>
    </row>
    <row r="213" spans="1:25" ht="63">
      <c r="A213" s="469"/>
      <c r="B213" s="174" t="s">
        <v>322</v>
      </c>
      <c r="C213" s="174" t="s">
        <v>323</v>
      </c>
      <c r="D213" s="175">
        <v>204</v>
      </c>
      <c r="E213" s="176" t="s">
        <v>324</v>
      </c>
      <c r="F213" s="173"/>
      <c r="G213" s="173"/>
      <c r="H213" s="173"/>
      <c r="I213" s="173"/>
      <c r="J213" s="116">
        <f t="shared" si="15"/>
        <v>0</v>
      </c>
      <c r="K213" s="173"/>
      <c r="L213" s="173"/>
      <c r="M213" s="173"/>
      <c r="N213" s="173"/>
      <c r="O213" s="173"/>
      <c r="P213" s="116">
        <f t="shared" si="16"/>
        <v>0</v>
      </c>
      <c r="Q213" s="173"/>
      <c r="R213" s="173"/>
      <c r="S213" s="173"/>
      <c r="T213" s="173">
        <v>24.524999999999999</v>
      </c>
      <c r="U213" s="173"/>
      <c r="V213" s="173"/>
      <c r="W213" s="117"/>
      <c r="X213" s="178">
        <f t="shared" si="2"/>
        <v>24.524999999999999</v>
      </c>
      <c r="Y213" s="173" t="s">
        <v>676</v>
      </c>
    </row>
    <row r="214" spans="1:25" ht="63">
      <c r="A214" s="469"/>
      <c r="B214" s="174" t="s">
        <v>326</v>
      </c>
      <c r="C214" s="174" t="s">
        <v>291</v>
      </c>
      <c r="D214" s="175">
        <v>205</v>
      </c>
      <c r="E214" s="176" t="s">
        <v>327</v>
      </c>
      <c r="F214" s="173"/>
      <c r="G214" s="173"/>
      <c r="H214" s="173"/>
      <c r="I214" s="173"/>
      <c r="J214" s="116">
        <f t="shared" si="15"/>
        <v>0</v>
      </c>
      <c r="K214" s="173"/>
      <c r="L214" s="173">
        <v>0</v>
      </c>
      <c r="M214" s="173"/>
      <c r="N214" s="173"/>
      <c r="O214" s="173"/>
      <c r="P214" s="116">
        <f t="shared" si="16"/>
        <v>0</v>
      </c>
      <c r="Q214" s="173"/>
      <c r="R214" s="173"/>
      <c r="S214" s="173"/>
      <c r="T214" s="173">
        <v>0</v>
      </c>
      <c r="U214" s="173"/>
      <c r="V214" s="173"/>
      <c r="W214" s="117"/>
      <c r="X214" s="117">
        <f t="shared" si="2"/>
        <v>0</v>
      </c>
      <c r="Y214" s="173"/>
    </row>
    <row r="215" spans="1:25" ht="63">
      <c r="A215" s="469"/>
      <c r="B215" s="174" t="s">
        <v>329</v>
      </c>
      <c r="C215" s="174" t="s">
        <v>246</v>
      </c>
      <c r="D215" s="175">
        <v>206</v>
      </c>
      <c r="E215" s="176" t="s">
        <v>330</v>
      </c>
      <c r="F215" s="173"/>
      <c r="G215" s="173"/>
      <c r="H215" s="173"/>
      <c r="I215" s="173"/>
      <c r="J215" s="116">
        <f t="shared" si="15"/>
        <v>0</v>
      </c>
      <c r="K215" s="173"/>
      <c r="L215" s="173"/>
      <c r="M215" s="173"/>
      <c r="N215" s="173"/>
      <c r="O215" s="173"/>
      <c r="P215" s="116">
        <f t="shared" si="16"/>
        <v>0</v>
      </c>
      <c r="Q215" s="173"/>
      <c r="R215" s="173"/>
      <c r="S215" s="173"/>
      <c r="T215" s="173"/>
      <c r="U215" s="173"/>
      <c r="V215" s="173"/>
      <c r="W215" s="117"/>
      <c r="X215" s="117">
        <f t="shared" si="2"/>
        <v>0</v>
      </c>
      <c r="Y215" s="173"/>
    </row>
    <row r="216" spans="1:25" ht="15.75">
      <c r="A216" s="469"/>
      <c r="B216" s="478" t="s">
        <v>331</v>
      </c>
      <c r="C216" s="469"/>
      <c r="D216" s="469"/>
      <c r="E216" s="99"/>
      <c r="F216" s="253">
        <f t="shared" ref="F216:W216" si="17">SUM(F159:F215)</f>
        <v>0.10349999999999999</v>
      </c>
      <c r="G216" s="265">
        <f t="shared" si="17"/>
        <v>0</v>
      </c>
      <c r="H216" s="265">
        <f t="shared" si="17"/>
        <v>195</v>
      </c>
      <c r="I216" s="265">
        <f t="shared" si="17"/>
        <v>0</v>
      </c>
      <c r="J216" s="265">
        <f t="shared" si="17"/>
        <v>195</v>
      </c>
      <c r="K216" s="253">
        <f t="shared" si="17"/>
        <v>0</v>
      </c>
      <c r="L216" s="253">
        <f t="shared" si="17"/>
        <v>0</v>
      </c>
      <c r="M216" s="253">
        <f t="shared" si="17"/>
        <v>0</v>
      </c>
      <c r="N216" s="253">
        <f t="shared" si="17"/>
        <v>0</v>
      </c>
      <c r="O216" s="253">
        <f t="shared" si="17"/>
        <v>0</v>
      </c>
      <c r="P216" s="253">
        <f t="shared" si="17"/>
        <v>0</v>
      </c>
      <c r="Q216" s="253">
        <f t="shared" si="17"/>
        <v>0</v>
      </c>
      <c r="R216" s="253">
        <f t="shared" si="17"/>
        <v>15</v>
      </c>
      <c r="S216" s="265">
        <f t="shared" si="17"/>
        <v>0</v>
      </c>
      <c r="T216" s="265">
        <f t="shared" si="17"/>
        <v>6154.9587399999991</v>
      </c>
      <c r="U216" s="253">
        <f t="shared" si="17"/>
        <v>0</v>
      </c>
      <c r="V216" s="253">
        <f t="shared" si="17"/>
        <v>0</v>
      </c>
      <c r="W216" s="251">
        <f t="shared" si="17"/>
        <v>0</v>
      </c>
      <c r="X216" s="253">
        <f t="shared" si="2"/>
        <v>6365.0622399999993</v>
      </c>
      <c r="Y216" s="253"/>
    </row>
    <row r="217" spans="1:25" ht="20.25" customHeight="1">
      <c r="A217" s="480" t="s">
        <v>332</v>
      </c>
      <c r="B217" s="469"/>
      <c r="C217" s="469"/>
      <c r="D217" s="469"/>
      <c r="E217" s="103"/>
      <c r="F217" s="104">
        <f t="shared" ref="F217:W217" si="18">F216+F158+F134+F93+F68</f>
        <v>137.76839000000001</v>
      </c>
      <c r="G217" s="105">
        <f t="shared" si="18"/>
        <v>0</v>
      </c>
      <c r="H217" s="105">
        <f t="shared" si="18"/>
        <v>195</v>
      </c>
      <c r="I217" s="105">
        <f t="shared" si="18"/>
        <v>10.65</v>
      </c>
      <c r="J217" s="105">
        <f t="shared" si="18"/>
        <v>205.65</v>
      </c>
      <c r="K217" s="104">
        <f t="shared" si="18"/>
        <v>0</v>
      </c>
      <c r="L217" s="104">
        <f t="shared" si="18"/>
        <v>47.881500000000003</v>
      </c>
      <c r="M217" s="104">
        <f t="shared" si="18"/>
        <v>0</v>
      </c>
      <c r="N217" s="104">
        <f t="shared" si="18"/>
        <v>0</v>
      </c>
      <c r="O217" s="104">
        <f t="shared" si="18"/>
        <v>101.43430000000001</v>
      </c>
      <c r="P217" s="104">
        <f t="shared" si="18"/>
        <v>101.43430000000001</v>
      </c>
      <c r="Q217" s="104">
        <f t="shared" si="18"/>
        <v>0</v>
      </c>
      <c r="R217" s="104">
        <f t="shared" si="18"/>
        <v>128.46179999999998</v>
      </c>
      <c r="S217" s="105">
        <f t="shared" si="18"/>
        <v>0</v>
      </c>
      <c r="T217" s="105">
        <f t="shared" si="18"/>
        <v>8871.8035</v>
      </c>
      <c r="U217" s="104">
        <f t="shared" si="18"/>
        <v>0</v>
      </c>
      <c r="V217" s="104">
        <f t="shared" si="18"/>
        <v>4.9000000000000004</v>
      </c>
      <c r="W217" s="104">
        <f t="shared" si="18"/>
        <v>0</v>
      </c>
      <c r="X217" s="104">
        <f t="shared" si="2"/>
        <v>9497.8994899999998</v>
      </c>
      <c r="Y217" s="266"/>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9"/>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9"/>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9"/>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9"/>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sheetData>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ummaryRight="0"/>
  </sheetPr>
  <dimension ref="A1:Y972"/>
  <sheetViews>
    <sheetView topLeftCell="C1" workbookViewId="0">
      <pane ySplit="5" topLeftCell="A200" activePane="bottomLeft" state="frozen"/>
      <selection pane="bottomLeft" activeCell="Y203" sqref="Y203"/>
    </sheetView>
  </sheetViews>
  <sheetFormatPr defaultColWidth="14.42578125" defaultRowHeight="15" customHeight="1"/>
  <cols>
    <col min="1" max="1" width="5.140625" style="111" customWidth="1"/>
    <col min="2" max="2" width="7" style="111" customWidth="1"/>
    <col min="3" max="3" width="11.42578125" style="111" customWidth="1"/>
    <col min="4" max="4" width="8.140625" style="111" customWidth="1"/>
    <col min="5" max="5" width="25" style="111" customWidth="1"/>
    <col min="6" max="6" width="9.28515625" style="111" customWidth="1"/>
    <col min="7" max="7" width="7.5703125" style="111" hidden="1" customWidth="1"/>
    <col min="8" max="8" width="8.7109375" style="111" customWidth="1"/>
    <col min="9" max="9" width="8.28515625" style="111" customWidth="1"/>
    <col min="10" max="10" width="9.28515625" style="111" customWidth="1"/>
    <col min="11" max="11" width="8.42578125" style="111" hidden="1" customWidth="1"/>
    <col min="12" max="12" width="10.5703125" style="111" customWidth="1"/>
    <col min="13" max="13" width="8.28515625" style="111" hidden="1" customWidth="1"/>
    <col min="14" max="14" width="5.42578125" style="111" customWidth="1"/>
    <col min="15" max="15" width="10.140625" style="111" customWidth="1"/>
    <col min="16" max="16" width="9.28515625" style="111" customWidth="1"/>
    <col min="17" max="17" width="11.85546875" style="111" hidden="1" customWidth="1"/>
    <col min="18" max="18" width="9.5703125" style="111" customWidth="1"/>
    <col min="19" max="19" width="10.140625" style="111" hidden="1" customWidth="1"/>
    <col min="20" max="20" width="10.85546875" style="111" customWidth="1"/>
    <col min="21" max="21" width="11.5703125" style="111" hidden="1" customWidth="1"/>
    <col min="22" max="22" width="9.85546875" style="111" customWidth="1"/>
    <col min="23" max="23" width="9.140625" style="111" hidden="1" customWidth="1"/>
    <col min="24" max="24" width="9.42578125" style="111" customWidth="1"/>
    <col min="25" max="25" width="38.7109375" style="157"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row>
    <row r="2" spans="1:25" ht="10.5" customHeight="1">
      <c r="A2" s="38"/>
      <c r="B2" s="38"/>
      <c r="C2" s="38"/>
      <c r="D2" s="38"/>
      <c r="E2" s="38"/>
      <c r="F2" s="38"/>
      <c r="G2" s="38"/>
      <c r="H2" s="38"/>
      <c r="I2" s="38"/>
      <c r="J2" s="38"/>
      <c r="K2" s="38"/>
      <c r="L2" s="38"/>
      <c r="M2" s="38"/>
      <c r="N2" s="38"/>
      <c r="O2" s="38"/>
      <c r="P2" s="38"/>
      <c r="Q2" s="38"/>
      <c r="R2" s="38"/>
      <c r="S2" s="38"/>
      <c r="T2" s="38"/>
      <c r="U2" s="38"/>
      <c r="V2" s="38"/>
      <c r="W2" s="38"/>
      <c r="X2" s="38"/>
      <c r="Y2" s="39"/>
    </row>
    <row r="3" spans="1:25" ht="22.5" customHeight="1">
      <c r="A3" s="38"/>
      <c r="B3" s="112"/>
      <c r="C3" s="112"/>
      <c r="D3" s="112"/>
      <c r="E3" s="112" t="s">
        <v>375</v>
      </c>
      <c r="F3" s="112"/>
      <c r="G3" s="112"/>
      <c r="H3" s="112"/>
      <c r="I3" s="112"/>
      <c r="J3" s="112"/>
      <c r="K3" s="112"/>
      <c r="L3" s="112"/>
      <c r="M3" s="112"/>
      <c r="N3" s="112"/>
      <c r="O3" s="112"/>
      <c r="P3" s="112"/>
      <c r="Q3" s="112"/>
      <c r="R3" s="112"/>
      <c r="S3" s="112"/>
      <c r="T3" s="112"/>
      <c r="U3" s="112"/>
      <c r="V3" s="112"/>
      <c r="W3" s="113"/>
      <c r="X3" s="470" t="s">
        <v>2</v>
      </c>
      <c r="Y3" s="471"/>
    </row>
    <row r="4" spans="1:25" ht="36"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42.75"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39" customHeight="1">
      <c r="A6" s="477" t="s">
        <v>24</v>
      </c>
      <c r="B6" s="476" t="s">
        <v>25</v>
      </c>
      <c r="C6" s="476" t="s">
        <v>26</v>
      </c>
      <c r="D6" s="106">
        <v>1</v>
      </c>
      <c r="E6" s="223" t="s">
        <v>27</v>
      </c>
      <c r="F6" s="116"/>
      <c r="G6" s="116"/>
      <c r="H6" s="116"/>
      <c r="I6" s="116"/>
      <c r="J6" s="116">
        <f t="shared" ref="J6:J28" si="0">H6+I6</f>
        <v>0</v>
      </c>
      <c r="K6" s="116"/>
      <c r="L6" s="116"/>
      <c r="M6" s="116"/>
      <c r="N6" s="116"/>
      <c r="O6" s="116"/>
      <c r="P6" s="116">
        <f t="shared" ref="P6:P50" si="1">N6+O6</f>
        <v>0</v>
      </c>
      <c r="Q6" s="116"/>
      <c r="R6" s="116"/>
      <c r="S6" s="116"/>
      <c r="T6" s="116"/>
      <c r="U6" s="116"/>
      <c r="V6" s="116"/>
      <c r="W6" s="117"/>
      <c r="X6" s="117">
        <f t="shared" ref="X6:X217" si="2">F6+J6+L6+P6+R6+T6+V6</f>
        <v>0</v>
      </c>
      <c r="Y6" s="97"/>
    </row>
    <row r="7" spans="1:25" ht="47.25">
      <c r="A7" s="469"/>
      <c r="B7" s="469"/>
      <c r="C7" s="469"/>
      <c r="D7" s="106">
        <v>2</v>
      </c>
      <c r="E7" s="115" t="s">
        <v>28</v>
      </c>
      <c r="F7" s="116"/>
      <c r="G7" s="116"/>
      <c r="H7" s="116"/>
      <c r="I7" s="116"/>
      <c r="J7" s="116">
        <f t="shared" si="0"/>
        <v>0</v>
      </c>
      <c r="K7" s="116"/>
      <c r="L7" s="116"/>
      <c r="M7" s="116"/>
      <c r="N7" s="116"/>
      <c r="O7" s="119"/>
      <c r="P7" s="117">
        <f t="shared" si="1"/>
        <v>0</v>
      </c>
      <c r="Q7" s="120"/>
      <c r="R7" s="120"/>
      <c r="S7" s="121"/>
      <c r="T7" s="121">
        <v>0</v>
      </c>
      <c r="U7" s="116"/>
      <c r="V7" s="116"/>
      <c r="W7" s="117"/>
      <c r="X7" s="117">
        <f t="shared" si="2"/>
        <v>0</v>
      </c>
      <c r="Y7" s="97"/>
    </row>
    <row r="8" spans="1:25" ht="141.75">
      <c r="A8" s="469"/>
      <c r="B8" s="469"/>
      <c r="C8" s="469"/>
      <c r="D8" s="106">
        <v>3</v>
      </c>
      <c r="E8" s="106" t="s">
        <v>29</v>
      </c>
      <c r="F8" s="121">
        <v>52.332630000000002</v>
      </c>
      <c r="G8" s="120"/>
      <c r="H8" s="120"/>
      <c r="I8" s="120"/>
      <c r="J8" s="116">
        <f t="shared" si="0"/>
        <v>0</v>
      </c>
      <c r="K8" s="120"/>
      <c r="L8" s="120"/>
      <c r="M8" s="120"/>
      <c r="N8" s="120"/>
      <c r="O8" s="120"/>
      <c r="P8" s="116">
        <f t="shared" si="1"/>
        <v>0</v>
      </c>
      <c r="Q8" s="120"/>
      <c r="R8" s="120"/>
      <c r="S8" s="120"/>
      <c r="T8" s="120"/>
      <c r="U8" s="116"/>
      <c r="V8" s="116"/>
      <c r="W8" s="117"/>
      <c r="X8" s="117">
        <f t="shared" si="2"/>
        <v>52.332630000000002</v>
      </c>
      <c r="Y8" s="97" t="s">
        <v>851</v>
      </c>
    </row>
    <row r="9" spans="1:25" ht="409.5">
      <c r="A9" s="469"/>
      <c r="B9" s="469"/>
      <c r="C9" s="469"/>
      <c r="D9" s="106">
        <v>4</v>
      </c>
      <c r="E9" s="106" t="s">
        <v>30</v>
      </c>
      <c r="F9" s="116"/>
      <c r="G9" s="116"/>
      <c r="H9" s="116"/>
      <c r="I9" s="116"/>
      <c r="J9" s="116">
        <f t="shared" si="0"/>
        <v>0</v>
      </c>
      <c r="K9" s="116"/>
      <c r="L9" s="116"/>
      <c r="M9" s="116"/>
      <c r="N9" s="116"/>
      <c r="O9" s="302">
        <v>71.841499999999996</v>
      </c>
      <c r="P9" s="116">
        <f t="shared" si="1"/>
        <v>71.841499999999996</v>
      </c>
      <c r="Q9" s="122"/>
      <c r="R9" s="261">
        <v>72.765000000000001</v>
      </c>
      <c r="S9" s="121"/>
      <c r="T9" s="121">
        <v>96.068200000000004</v>
      </c>
      <c r="U9" s="120"/>
      <c r="V9" s="120"/>
      <c r="W9" s="117"/>
      <c r="X9" s="117">
        <f t="shared" si="2"/>
        <v>240.67469999999997</v>
      </c>
      <c r="Y9" s="97" t="s">
        <v>852</v>
      </c>
    </row>
    <row r="10" spans="1:25" ht="80.25" customHeight="1">
      <c r="A10" s="469"/>
      <c r="B10" s="469"/>
      <c r="C10" s="469"/>
      <c r="D10" s="106">
        <v>5</v>
      </c>
      <c r="E10" s="106" t="s">
        <v>31</v>
      </c>
      <c r="F10" s="120"/>
      <c r="G10" s="120"/>
      <c r="H10" s="120"/>
      <c r="I10" s="120"/>
      <c r="J10" s="116">
        <f t="shared" si="0"/>
        <v>0</v>
      </c>
      <c r="K10" s="120"/>
      <c r="L10" s="120"/>
      <c r="M10" s="120"/>
      <c r="N10" s="120"/>
      <c r="O10" s="120"/>
      <c r="P10" s="116">
        <f t="shared" si="1"/>
        <v>0</v>
      </c>
      <c r="Q10" s="120"/>
      <c r="R10" s="120"/>
      <c r="S10" s="122"/>
      <c r="T10" s="122">
        <v>54.033000000000001</v>
      </c>
      <c r="U10" s="120"/>
      <c r="V10" s="120"/>
      <c r="W10" s="117"/>
      <c r="X10" s="117">
        <f t="shared" si="2"/>
        <v>54.033000000000001</v>
      </c>
      <c r="Y10" s="97" t="s">
        <v>853</v>
      </c>
    </row>
    <row r="11" spans="1:25" ht="236.25">
      <c r="A11" s="469"/>
      <c r="B11" s="469"/>
      <c r="C11" s="469"/>
      <c r="D11" s="106">
        <v>6</v>
      </c>
      <c r="E11" s="106" t="s">
        <v>32</v>
      </c>
      <c r="F11" s="120">
        <v>1.1499999999999999</v>
      </c>
      <c r="G11" s="120"/>
      <c r="H11" s="120"/>
      <c r="I11" s="120"/>
      <c r="J11" s="116">
        <f t="shared" si="0"/>
        <v>0</v>
      </c>
      <c r="K11" s="120"/>
      <c r="L11" s="120"/>
      <c r="M11" s="120"/>
      <c r="N11" s="120"/>
      <c r="O11" s="120"/>
      <c r="P11" s="116">
        <f t="shared" si="1"/>
        <v>0</v>
      </c>
      <c r="Q11" s="120"/>
      <c r="R11" s="120"/>
      <c r="S11" s="121"/>
      <c r="T11" s="121">
        <v>0.83</v>
      </c>
      <c r="U11" s="120"/>
      <c r="V11" s="120"/>
      <c r="W11" s="117"/>
      <c r="X11" s="117">
        <f t="shared" si="2"/>
        <v>1.98</v>
      </c>
      <c r="Y11" s="97" t="s">
        <v>854</v>
      </c>
    </row>
    <row r="12" spans="1:25" ht="31.5">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117"/>
      <c r="X12" s="117">
        <f t="shared" si="2"/>
        <v>0</v>
      </c>
      <c r="Y12" s="97"/>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7"/>
    </row>
    <row r="14" spans="1:25" ht="54.7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0.11</v>
      </c>
      <c r="U14" s="121"/>
      <c r="V14" s="121"/>
      <c r="W14" s="117"/>
      <c r="X14" s="117">
        <f t="shared" si="2"/>
        <v>0.11</v>
      </c>
      <c r="Y14" s="97" t="s">
        <v>855</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97"/>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7"/>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97"/>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7"/>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7"/>
    </row>
    <row r="20" spans="1:25" ht="15.75">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7"/>
    </row>
    <row r="21" spans="1:25" ht="36.75" hidden="1"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7"/>
    </row>
    <row r="22" spans="1:25" ht="15.75">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97"/>
    </row>
    <row r="23" spans="1:25" ht="31.5">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245"/>
    </row>
    <row r="24" spans="1:25" ht="24.7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7"/>
    </row>
    <row r="25" spans="1:25" ht="63">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7"/>
    </row>
    <row r="26" spans="1:25" ht="110.25">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20.916</v>
      </c>
      <c r="U26" s="128"/>
      <c r="V26" s="120"/>
      <c r="W26" s="117"/>
      <c r="X26" s="117">
        <f t="shared" si="2"/>
        <v>20.916</v>
      </c>
      <c r="Y26" s="135" t="s">
        <v>754</v>
      </c>
    </row>
    <row r="27" spans="1:25" ht="189">
      <c r="A27" s="469"/>
      <c r="B27" s="469"/>
      <c r="C27" s="469"/>
      <c r="D27" s="106">
        <v>22</v>
      </c>
      <c r="E27" s="106" t="s">
        <v>52</v>
      </c>
      <c r="F27" s="121"/>
      <c r="G27" s="120"/>
      <c r="H27" s="120"/>
      <c r="I27" s="121"/>
      <c r="J27" s="125">
        <f t="shared" si="0"/>
        <v>0</v>
      </c>
      <c r="K27" s="129"/>
      <c r="L27" s="129">
        <v>3.2269999999999999</v>
      </c>
      <c r="M27" s="115"/>
      <c r="N27" s="120"/>
      <c r="O27" s="120"/>
      <c r="P27" s="116">
        <f t="shared" si="1"/>
        <v>0</v>
      </c>
      <c r="Q27" s="121"/>
      <c r="R27" s="121">
        <v>1</v>
      </c>
      <c r="S27" s="125"/>
      <c r="T27" s="121">
        <v>241.1191</v>
      </c>
      <c r="U27" s="97"/>
      <c r="V27" s="120"/>
      <c r="W27" s="117"/>
      <c r="X27" s="117">
        <f t="shared" si="2"/>
        <v>245.34610000000001</v>
      </c>
      <c r="Y27" s="135" t="s">
        <v>755</v>
      </c>
    </row>
    <row r="28" spans="1:25" ht="31.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245"/>
    </row>
    <row r="29" spans="1:25" ht="204.75">
      <c r="A29" s="469"/>
      <c r="B29" s="469"/>
      <c r="C29" s="469"/>
      <c r="D29" s="106">
        <v>24</v>
      </c>
      <c r="E29" s="106" t="s">
        <v>56</v>
      </c>
      <c r="F29" s="120"/>
      <c r="G29" s="120"/>
      <c r="H29" s="120"/>
      <c r="I29" s="121"/>
      <c r="J29" s="116"/>
      <c r="K29" s="120"/>
      <c r="L29" s="120"/>
      <c r="M29" s="120"/>
      <c r="N29" s="120"/>
      <c r="O29" s="120"/>
      <c r="P29" s="116">
        <f t="shared" si="1"/>
        <v>0</v>
      </c>
      <c r="Q29" s="120"/>
      <c r="R29" s="120"/>
      <c r="S29" s="120"/>
      <c r="T29" s="120">
        <v>4.4000000000000004</v>
      </c>
      <c r="U29" s="298"/>
      <c r="V29" s="120"/>
      <c r="W29" s="117"/>
      <c r="X29" s="117">
        <f t="shared" si="2"/>
        <v>4.4000000000000004</v>
      </c>
      <c r="Y29" s="97" t="s">
        <v>756</v>
      </c>
    </row>
    <row r="30" spans="1:25" ht="393.75">
      <c r="A30" s="469"/>
      <c r="B30" s="469"/>
      <c r="C30" s="469"/>
      <c r="D30" s="106">
        <v>25</v>
      </c>
      <c r="E30" s="106" t="s">
        <v>57</v>
      </c>
      <c r="F30" s="120"/>
      <c r="G30" s="120"/>
      <c r="H30" s="120"/>
      <c r="I30" s="120"/>
      <c r="J30" s="116">
        <f t="shared" ref="J30:J67" si="3">H30+I30</f>
        <v>0</v>
      </c>
      <c r="K30" s="120"/>
      <c r="L30" s="120"/>
      <c r="M30" s="120"/>
      <c r="N30" s="120"/>
      <c r="O30" s="120"/>
      <c r="P30" s="116">
        <f t="shared" si="1"/>
        <v>0</v>
      </c>
      <c r="Q30" s="120"/>
      <c r="R30" s="120"/>
      <c r="S30" s="120"/>
      <c r="T30" s="120">
        <v>0.59399999999999997</v>
      </c>
      <c r="U30" s="115"/>
      <c r="V30" s="120"/>
      <c r="W30" s="117"/>
      <c r="X30" s="117">
        <f t="shared" si="2"/>
        <v>0.59399999999999997</v>
      </c>
      <c r="Y30" s="97" t="s">
        <v>757</v>
      </c>
    </row>
    <row r="31" spans="1:25" ht="15.75">
      <c r="A31" s="469"/>
      <c r="B31" s="469"/>
      <c r="C31" s="469"/>
      <c r="D31" s="106">
        <v>26</v>
      </c>
      <c r="E31" s="106" t="s">
        <v>58</v>
      </c>
      <c r="F31" s="120"/>
      <c r="G31" s="120"/>
      <c r="H31" s="120"/>
      <c r="I31" s="120"/>
      <c r="J31" s="116">
        <f t="shared" si="3"/>
        <v>0</v>
      </c>
      <c r="K31" s="122"/>
      <c r="L31" s="122"/>
      <c r="M31" s="120"/>
      <c r="N31" s="120"/>
      <c r="O31" s="120"/>
      <c r="P31" s="116">
        <f t="shared" si="1"/>
        <v>0</v>
      </c>
      <c r="Q31" s="120"/>
      <c r="R31" s="120"/>
      <c r="S31" s="120"/>
      <c r="T31" s="120"/>
      <c r="U31" s="120"/>
      <c r="V31" s="120"/>
      <c r="W31" s="117"/>
      <c r="X31" s="117">
        <f t="shared" si="2"/>
        <v>0</v>
      </c>
      <c r="Y31" s="97"/>
    </row>
    <row r="32" spans="1:25" ht="47.25">
      <c r="A32" s="469"/>
      <c r="B32" s="469"/>
      <c r="C32" s="469"/>
      <c r="D32" s="106">
        <v>27</v>
      </c>
      <c r="E32" s="106" t="s">
        <v>59</v>
      </c>
      <c r="F32" s="120"/>
      <c r="G32" s="120"/>
      <c r="H32" s="120"/>
      <c r="I32" s="121"/>
      <c r="J32" s="125">
        <f t="shared" si="3"/>
        <v>0</v>
      </c>
      <c r="K32" s="122"/>
      <c r="L32" s="122"/>
      <c r="M32" s="120"/>
      <c r="N32" s="120"/>
      <c r="O32" s="120"/>
      <c r="P32" s="116">
        <f t="shared" si="1"/>
        <v>0</v>
      </c>
      <c r="Q32" s="120"/>
      <c r="R32" s="120"/>
      <c r="S32" s="130"/>
      <c r="T32" s="130">
        <v>2</v>
      </c>
      <c r="U32" s="131"/>
      <c r="V32" s="120"/>
      <c r="W32" s="117"/>
      <c r="X32" s="117">
        <f t="shared" si="2"/>
        <v>2</v>
      </c>
      <c r="Y32" s="97" t="s">
        <v>795</v>
      </c>
    </row>
    <row r="33" spans="1:25" ht="50.25" customHeight="1">
      <c r="A33" s="469"/>
      <c r="B33" s="469"/>
      <c r="C33" s="469"/>
      <c r="D33" s="106">
        <v>28</v>
      </c>
      <c r="E33" s="106" t="s">
        <v>30</v>
      </c>
      <c r="F33" s="120"/>
      <c r="G33" s="120"/>
      <c r="H33" s="120"/>
      <c r="I33" s="120"/>
      <c r="J33" s="116">
        <f t="shared" si="3"/>
        <v>0</v>
      </c>
      <c r="K33" s="120"/>
      <c r="L33" s="120"/>
      <c r="M33" s="120"/>
      <c r="N33" s="120"/>
      <c r="O33" s="122">
        <v>8.0325000000000006</v>
      </c>
      <c r="P33" s="117">
        <f t="shared" si="1"/>
        <v>8.0325000000000006</v>
      </c>
      <c r="Q33" s="97"/>
      <c r="R33" s="122">
        <v>8.0325000000000006</v>
      </c>
      <c r="S33" s="97"/>
      <c r="T33" s="120"/>
      <c r="U33" s="120"/>
      <c r="V33" s="120"/>
      <c r="W33" s="117"/>
      <c r="X33" s="117">
        <f t="shared" si="2"/>
        <v>16.065000000000001</v>
      </c>
      <c r="Y33" s="135" t="s">
        <v>758</v>
      </c>
    </row>
    <row r="34" spans="1:25" ht="48" customHeight="1">
      <c r="A34" s="469"/>
      <c r="B34" s="469"/>
      <c r="C34" s="469"/>
      <c r="D34" s="106">
        <v>29</v>
      </c>
      <c r="E34" s="106" t="s">
        <v>31</v>
      </c>
      <c r="F34" s="120"/>
      <c r="G34" s="120"/>
      <c r="H34" s="120"/>
      <c r="I34" s="120"/>
      <c r="J34" s="116">
        <f t="shared" si="3"/>
        <v>0</v>
      </c>
      <c r="K34" s="120"/>
      <c r="L34" s="120"/>
      <c r="M34" s="120"/>
      <c r="N34" s="120"/>
      <c r="O34" s="120"/>
      <c r="P34" s="116">
        <f t="shared" si="1"/>
        <v>0</v>
      </c>
      <c r="Q34" s="120"/>
      <c r="R34" s="120"/>
      <c r="S34" s="122"/>
      <c r="T34" s="122">
        <v>28.11375</v>
      </c>
      <c r="U34" s="97"/>
      <c r="V34" s="120"/>
      <c r="W34" s="117"/>
      <c r="X34" s="117">
        <f t="shared" si="2"/>
        <v>28.11375</v>
      </c>
      <c r="Y34" s="135" t="s">
        <v>759</v>
      </c>
    </row>
    <row r="35" spans="1:25" ht="31.5">
      <c r="A35" s="469"/>
      <c r="B35" s="469"/>
      <c r="C35" s="469"/>
      <c r="D35" s="106">
        <v>30</v>
      </c>
      <c r="E35" s="106" t="s">
        <v>60</v>
      </c>
      <c r="F35" s="120"/>
      <c r="G35" s="120"/>
      <c r="H35" s="120"/>
      <c r="I35" s="120"/>
      <c r="J35" s="116">
        <f t="shared" si="3"/>
        <v>0</v>
      </c>
      <c r="K35" s="122"/>
      <c r="L35" s="122"/>
      <c r="M35" s="120"/>
      <c r="N35" s="120"/>
      <c r="O35" s="120"/>
      <c r="P35" s="116">
        <f t="shared" si="1"/>
        <v>0</v>
      </c>
      <c r="Q35" s="120"/>
      <c r="R35" s="120"/>
      <c r="S35" s="120"/>
      <c r="T35" s="120"/>
      <c r="U35" s="120"/>
      <c r="V35" s="120"/>
      <c r="W35" s="117"/>
      <c r="X35" s="117">
        <f t="shared" si="2"/>
        <v>0</v>
      </c>
      <c r="Y35" s="97"/>
    </row>
    <row r="36" spans="1:25" ht="31.5" hidden="1">
      <c r="A36" s="469"/>
      <c r="B36" s="469"/>
      <c r="C36" s="469"/>
      <c r="D36" s="106">
        <v>31</v>
      </c>
      <c r="E36" s="106" t="s">
        <v>44</v>
      </c>
      <c r="F36" s="120"/>
      <c r="G36" s="120"/>
      <c r="H36" s="120"/>
      <c r="I36" s="120"/>
      <c r="J36" s="116">
        <f t="shared" si="3"/>
        <v>0</v>
      </c>
      <c r="K36" s="120"/>
      <c r="L36" s="120"/>
      <c r="M36" s="120"/>
      <c r="N36" s="120"/>
      <c r="O36" s="120"/>
      <c r="P36" s="116">
        <f t="shared" si="1"/>
        <v>0</v>
      </c>
      <c r="Q36" s="120"/>
      <c r="R36" s="120"/>
      <c r="S36" s="120"/>
      <c r="T36" s="120"/>
      <c r="U36" s="120"/>
      <c r="V36" s="120"/>
      <c r="W36" s="117"/>
      <c r="X36" s="117">
        <f t="shared" si="2"/>
        <v>0</v>
      </c>
      <c r="Y36" s="97"/>
    </row>
    <row r="37" spans="1:25" ht="354" customHeight="1">
      <c r="A37" s="469"/>
      <c r="B37" s="476" t="s">
        <v>61</v>
      </c>
      <c r="C37" s="476" t="s">
        <v>62</v>
      </c>
      <c r="D37" s="106">
        <v>32</v>
      </c>
      <c r="E37" s="106" t="s">
        <v>63</v>
      </c>
      <c r="F37" s="120"/>
      <c r="G37" s="120"/>
      <c r="H37" s="120"/>
      <c r="I37" s="120"/>
      <c r="J37" s="116">
        <f t="shared" si="3"/>
        <v>0</v>
      </c>
      <c r="K37" s="122"/>
      <c r="L37" s="122"/>
      <c r="M37" s="120"/>
      <c r="N37" s="120"/>
      <c r="O37" s="120"/>
      <c r="P37" s="116">
        <f t="shared" si="1"/>
        <v>0</v>
      </c>
      <c r="Q37" s="122"/>
      <c r="R37" s="122"/>
      <c r="S37" s="121"/>
      <c r="T37" s="121">
        <v>16.3416</v>
      </c>
      <c r="U37" s="122"/>
      <c r="V37" s="122"/>
      <c r="W37" s="117"/>
      <c r="X37" s="117">
        <f t="shared" si="2"/>
        <v>16.3416</v>
      </c>
      <c r="Y37" s="97" t="s">
        <v>1227</v>
      </c>
    </row>
    <row r="38" spans="1:25" ht="35.25" customHeight="1">
      <c r="A38" s="469"/>
      <c r="B38" s="469"/>
      <c r="C38" s="469"/>
      <c r="D38" s="106">
        <v>33</v>
      </c>
      <c r="E38" s="106" t="s">
        <v>64</v>
      </c>
      <c r="F38" s="116"/>
      <c r="G38" s="116"/>
      <c r="H38" s="116"/>
      <c r="I38" s="116"/>
      <c r="J38" s="116">
        <f t="shared" si="3"/>
        <v>0</v>
      </c>
      <c r="K38" s="116"/>
      <c r="L38" s="116"/>
      <c r="M38" s="116"/>
      <c r="N38" s="116"/>
      <c r="O38" s="116"/>
      <c r="P38" s="116">
        <f t="shared" si="1"/>
        <v>0</v>
      </c>
      <c r="Q38" s="116"/>
      <c r="R38" s="116"/>
      <c r="S38" s="116"/>
      <c r="T38" s="116"/>
      <c r="U38" s="116"/>
      <c r="V38" s="116"/>
      <c r="W38" s="117"/>
      <c r="X38" s="117">
        <f t="shared" si="2"/>
        <v>0</v>
      </c>
      <c r="Y38" s="97"/>
    </row>
    <row r="39" spans="1:25" ht="39.75" customHeight="1">
      <c r="A39" s="469"/>
      <c r="B39" s="469"/>
      <c r="C39" s="469"/>
      <c r="D39" s="106">
        <v>34</v>
      </c>
      <c r="E39" s="106" t="s">
        <v>65</v>
      </c>
      <c r="F39" s="116"/>
      <c r="G39" s="116"/>
      <c r="H39" s="116"/>
      <c r="I39" s="116"/>
      <c r="J39" s="116">
        <f t="shared" si="3"/>
        <v>0</v>
      </c>
      <c r="K39" s="116"/>
      <c r="L39" s="116"/>
      <c r="M39" s="116"/>
      <c r="N39" s="116"/>
      <c r="O39" s="116"/>
      <c r="P39" s="116">
        <f t="shared" si="1"/>
        <v>0</v>
      </c>
      <c r="Q39" s="116"/>
      <c r="R39" s="116"/>
      <c r="S39" s="125"/>
      <c r="T39" s="125"/>
      <c r="U39" s="116"/>
      <c r="V39" s="116"/>
      <c r="W39" s="117"/>
      <c r="X39" s="117">
        <f t="shared" si="2"/>
        <v>0</v>
      </c>
      <c r="Y39" s="97"/>
    </row>
    <row r="40" spans="1:25" ht="204.75">
      <c r="A40" s="469"/>
      <c r="B40" s="476" t="s">
        <v>66</v>
      </c>
      <c r="C40" s="476" t="s">
        <v>67</v>
      </c>
      <c r="D40" s="106">
        <v>35</v>
      </c>
      <c r="E40" s="223" t="s">
        <v>68</v>
      </c>
      <c r="F40" s="116"/>
      <c r="G40" s="116"/>
      <c r="H40" s="116"/>
      <c r="I40" s="116"/>
      <c r="J40" s="116">
        <f t="shared" si="3"/>
        <v>0</v>
      </c>
      <c r="K40" s="117"/>
      <c r="L40" s="117"/>
      <c r="M40" s="116"/>
      <c r="N40" s="116"/>
      <c r="O40" s="116"/>
      <c r="P40" s="116">
        <f t="shared" si="1"/>
        <v>0</v>
      </c>
      <c r="Q40" s="116"/>
      <c r="R40" s="116"/>
      <c r="S40" s="125"/>
      <c r="T40" s="125">
        <f>0.6+0.96+0.15</f>
        <v>1.71</v>
      </c>
      <c r="U40" s="116"/>
      <c r="V40" s="116"/>
      <c r="W40" s="117"/>
      <c r="X40" s="117">
        <f t="shared" si="2"/>
        <v>1.71</v>
      </c>
      <c r="Y40" s="97" t="s">
        <v>376</v>
      </c>
    </row>
    <row r="41" spans="1:25" ht="47.25">
      <c r="A41" s="469"/>
      <c r="B41" s="469"/>
      <c r="C41" s="469"/>
      <c r="D41" s="106">
        <v>36</v>
      </c>
      <c r="E41" s="223" t="s">
        <v>70</v>
      </c>
      <c r="F41" s="116"/>
      <c r="G41" s="116"/>
      <c r="H41" s="116"/>
      <c r="I41" s="116"/>
      <c r="J41" s="116">
        <f t="shared" si="3"/>
        <v>0</v>
      </c>
      <c r="K41" s="116"/>
      <c r="L41" s="116"/>
      <c r="M41" s="116"/>
      <c r="N41" s="116"/>
      <c r="O41" s="117"/>
      <c r="P41" s="117">
        <f t="shared" si="1"/>
        <v>0</v>
      </c>
      <c r="Q41" s="116"/>
      <c r="R41" s="116"/>
      <c r="S41" s="116"/>
      <c r="T41" s="116">
        <v>0</v>
      </c>
      <c r="U41" s="116"/>
      <c r="V41" s="116"/>
      <c r="W41" s="117"/>
      <c r="X41" s="117">
        <f t="shared" si="2"/>
        <v>0</v>
      </c>
      <c r="Y41" s="97"/>
    </row>
    <row r="42" spans="1:25" ht="31.5">
      <c r="A42" s="469"/>
      <c r="B42" s="469"/>
      <c r="C42" s="469"/>
      <c r="D42" s="106">
        <v>37</v>
      </c>
      <c r="E42" s="106" t="s">
        <v>71</v>
      </c>
      <c r="F42" s="116"/>
      <c r="G42" s="116"/>
      <c r="H42" s="116"/>
      <c r="I42" s="116"/>
      <c r="J42" s="116">
        <f t="shared" si="3"/>
        <v>0</v>
      </c>
      <c r="K42" s="116"/>
      <c r="L42" s="116"/>
      <c r="M42" s="116"/>
      <c r="N42" s="116"/>
      <c r="O42" s="117"/>
      <c r="P42" s="117">
        <f t="shared" si="1"/>
        <v>0</v>
      </c>
      <c r="Q42" s="116"/>
      <c r="R42" s="116"/>
      <c r="S42" s="116"/>
      <c r="T42" s="116"/>
      <c r="U42" s="116"/>
      <c r="V42" s="116"/>
      <c r="W42" s="117"/>
      <c r="X42" s="117">
        <f t="shared" si="2"/>
        <v>0</v>
      </c>
      <c r="Y42" s="97"/>
    </row>
    <row r="43" spans="1:25" ht="126">
      <c r="A43" s="469"/>
      <c r="B43" s="469"/>
      <c r="C43" s="469"/>
      <c r="D43" s="106">
        <v>38</v>
      </c>
      <c r="E43" s="139" t="s">
        <v>72</v>
      </c>
      <c r="F43" s="116"/>
      <c r="G43" s="116"/>
      <c r="H43" s="116"/>
      <c r="I43" s="116"/>
      <c r="J43" s="116">
        <f t="shared" si="3"/>
        <v>0</v>
      </c>
      <c r="K43" s="116"/>
      <c r="L43" s="116"/>
      <c r="M43" s="116"/>
      <c r="N43" s="116"/>
      <c r="O43" s="116"/>
      <c r="P43" s="116">
        <f t="shared" si="1"/>
        <v>0</v>
      </c>
      <c r="Q43" s="116"/>
      <c r="R43" s="116"/>
      <c r="S43" s="125"/>
      <c r="T43" s="125">
        <f>1.2+0.5</f>
        <v>1.7</v>
      </c>
      <c r="U43" s="116"/>
      <c r="V43" s="116"/>
      <c r="W43" s="117"/>
      <c r="X43" s="117">
        <f t="shared" si="2"/>
        <v>1.7</v>
      </c>
      <c r="Y43" s="97" t="s">
        <v>575</v>
      </c>
    </row>
    <row r="44" spans="1:25" ht="63">
      <c r="A44" s="469"/>
      <c r="B44" s="469"/>
      <c r="C44" s="469"/>
      <c r="D44" s="106">
        <v>39</v>
      </c>
      <c r="E44" s="106" t="s">
        <v>74</v>
      </c>
      <c r="F44" s="116"/>
      <c r="G44" s="116"/>
      <c r="H44" s="116"/>
      <c r="I44" s="116"/>
      <c r="J44" s="116">
        <f t="shared" si="3"/>
        <v>0</v>
      </c>
      <c r="K44" s="116"/>
      <c r="L44" s="116"/>
      <c r="M44" s="116"/>
      <c r="N44" s="116"/>
      <c r="O44" s="116"/>
      <c r="P44" s="116">
        <f t="shared" si="1"/>
        <v>0</v>
      </c>
      <c r="Q44" s="116"/>
      <c r="R44" s="116"/>
      <c r="S44" s="125"/>
      <c r="T44" s="125"/>
      <c r="U44" s="116"/>
      <c r="V44" s="116"/>
      <c r="W44" s="117"/>
      <c r="X44" s="117">
        <f t="shared" si="2"/>
        <v>0</v>
      </c>
      <c r="Y44" s="97"/>
    </row>
    <row r="45" spans="1:25" ht="94.5">
      <c r="A45" s="469"/>
      <c r="B45" s="469"/>
      <c r="C45" s="469"/>
      <c r="D45" s="106">
        <v>40</v>
      </c>
      <c r="E45" s="106" t="s">
        <v>75</v>
      </c>
      <c r="F45" s="116"/>
      <c r="G45" s="116"/>
      <c r="H45" s="116"/>
      <c r="I45" s="116"/>
      <c r="J45" s="116">
        <f t="shared" si="3"/>
        <v>0</v>
      </c>
      <c r="K45" s="116"/>
      <c r="L45" s="116"/>
      <c r="M45" s="116"/>
      <c r="N45" s="116"/>
      <c r="O45" s="116"/>
      <c r="P45" s="116">
        <f t="shared" si="1"/>
        <v>0</v>
      </c>
      <c r="Q45" s="116"/>
      <c r="R45" s="116"/>
      <c r="S45" s="125"/>
      <c r="T45" s="125">
        <f>(500*17*15)/100000</f>
        <v>1.2749999999999999</v>
      </c>
      <c r="U45" s="116"/>
      <c r="V45" s="116"/>
      <c r="W45" s="117"/>
      <c r="X45" s="117">
        <f t="shared" si="2"/>
        <v>1.2749999999999999</v>
      </c>
      <c r="Y45" s="97" t="s">
        <v>576</v>
      </c>
    </row>
    <row r="46" spans="1:25" ht="31.5" hidden="1">
      <c r="A46" s="469"/>
      <c r="B46" s="469"/>
      <c r="C46" s="469"/>
      <c r="D46" s="106">
        <v>41</v>
      </c>
      <c r="E46" s="106" t="s">
        <v>44</v>
      </c>
      <c r="F46" s="116"/>
      <c r="G46" s="116"/>
      <c r="H46" s="116"/>
      <c r="I46" s="116"/>
      <c r="J46" s="116">
        <f t="shared" si="3"/>
        <v>0</v>
      </c>
      <c r="K46" s="116"/>
      <c r="L46" s="116"/>
      <c r="M46" s="116"/>
      <c r="N46" s="116"/>
      <c r="O46" s="116"/>
      <c r="P46" s="116">
        <f t="shared" si="1"/>
        <v>0</v>
      </c>
      <c r="Q46" s="116"/>
      <c r="R46" s="116"/>
      <c r="S46" s="116"/>
      <c r="T46" s="116"/>
      <c r="U46" s="116"/>
      <c r="V46" s="116"/>
      <c r="W46" s="117"/>
      <c r="X46" s="117">
        <f t="shared" si="2"/>
        <v>0</v>
      </c>
      <c r="Y46" s="97"/>
    </row>
    <row r="47" spans="1:25" ht="78.75">
      <c r="A47" s="469"/>
      <c r="B47" s="476" t="s">
        <v>76</v>
      </c>
      <c r="C47" s="476" t="s">
        <v>77</v>
      </c>
      <c r="D47" s="106">
        <v>42</v>
      </c>
      <c r="E47" s="106" t="s">
        <v>78</v>
      </c>
      <c r="F47" s="121">
        <v>8.4730000000000008</v>
      </c>
      <c r="G47" s="120"/>
      <c r="H47" s="120"/>
      <c r="I47" s="120"/>
      <c r="J47" s="116">
        <f t="shared" si="3"/>
        <v>0</v>
      </c>
      <c r="K47" s="122"/>
      <c r="L47" s="122"/>
      <c r="M47" s="120"/>
      <c r="N47" s="120"/>
      <c r="O47" s="120"/>
      <c r="P47" s="116">
        <f t="shared" si="1"/>
        <v>0</v>
      </c>
      <c r="Q47" s="120"/>
      <c r="R47" s="120"/>
      <c r="S47" s="121"/>
      <c r="T47" s="121"/>
      <c r="U47" s="120"/>
      <c r="V47" s="120"/>
      <c r="W47" s="117"/>
      <c r="X47" s="117">
        <f t="shared" si="2"/>
        <v>8.4730000000000008</v>
      </c>
      <c r="Y47" s="97" t="s">
        <v>943</v>
      </c>
    </row>
    <row r="48" spans="1:25" ht="31.5">
      <c r="A48" s="469"/>
      <c r="B48" s="469"/>
      <c r="C48" s="469"/>
      <c r="D48" s="106">
        <v>43</v>
      </c>
      <c r="E48" s="106" t="s">
        <v>79</v>
      </c>
      <c r="F48" s="121">
        <v>1.2</v>
      </c>
      <c r="G48" s="120"/>
      <c r="H48" s="120"/>
      <c r="I48" s="120"/>
      <c r="J48" s="116">
        <f t="shared" si="3"/>
        <v>0</v>
      </c>
      <c r="K48" s="122"/>
      <c r="L48" s="122"/>
      <c r="M48" s="120"/>
      <c r="N48" s="120"/>
      <c r="O48" s="120"/>
      <c r="P48" s="116">
        <f t="shared" si="1"/>
        <v>0</v>
      </c>
      <c r="Q48" s="120"/>
      <c r="R48" s="120"/>
      <c r="S48" s="121"/>
      <c r="T48" s="121"/>
      <c r="U48" s="120"/>
      <c r="V48" s="120"/>
      <c r="W48" s="117"/>
      <c r="X48" s="117">
        <f t="shared" si="2"/>
        <v>1.2</v>
      </c>
      <c r="Y48" s="97" t="s">
        <v>944</v>
      </c>
    </row>
    <row r="49" spans="1:25" ht="63">
      <c r="A49" s="469"/>
      <c r="B49" s="469"/>
      <c r="C49" s="469"/>
      <c r="D49" s="106">
        <v>44</v>
      </c>
      <c r="E49" s="106" t="s">
        <v>80</v>
      </c>
      <c r="F49" s="121">
        <v>0.255</v>
      </c>
      <c r="G49" s="120"/>
      <c r="H49" s="120"/>
      <c r="I49" s="120"/>
      <c r="J49" s="116">
        <f t="shared" si="3"/>
        <v>0</v>
      </c>
      <c r="K49" s="122"/>
      <c r="L49" s="122"/>
      <c r="M49" s="120"/>
      <c r="N49" s="120"/>
      <c r="O49" s="120"/>
      <c r="P49" s="116">
        <f t="shared" si="1"/>
        <v>0</v>
      </c>
      <c r="Q49" s="120"/>
      <c r="R49" s="120"/>
      <c r="S49" s="121"/>
      <c r="T49" s="121"/>
      <c r="U49" s="120"/>
      <c r="V49" s="120"/>
      <c r="W49" s="117"/>
      <c r="X49" s="117">
        <f t="shared" si="2"/>
        <v>0.255</v>
      </c>
      <c r="Y49" s="97" t="s">
        <v>896</v>
      </c>
    </row>
    <row r="50" spans="1:25" ht="78.75">
      <c r="A50" s="469"/>
      <c r="B50" s="469"/>
      <c r="C50" s="469"/>
      <c r="D50" s="106">
        <v>45</v>
      </c>
      <c r="E50" s="106" t="s">
        <v>81</v>
      </c>
      <c r="F50" s="121">
        <v>0.41099999999999998</v>
      </c>
      <c r="G50" s="120"/>
      <c r="H50" s="120"/>
      <c r="I50" s="120"/>
      <c r="J50" s="116">
        <f t="shared" si="3"/>
        <v>0</v>
      </c>
      <c r="K50" s="120"/>
      <c r="L50" s="120"/>
      <c r="M50" s="120"/>
      <c r="N50" s="120"/>
      <c r="O50" s="120"/>
      <c r="P50" s="116">
        <f t="shared" si="1"/>
        <v>0</v>
      </c>
      <c r="Q50" s="120"/>
      <c r="R50" s="120"/>
      <c r="S50" s="120"/>
      <c r="T50" s="120"/>
      <c r="U50" s="120"/>
      <c r="V50" s="120"/>
      <c r="W50" s="117"/>
      <c r="X50" s="117">
        <f t="shared" si="2"/>
        <v>0.41099999999999998</v>
      </c>
      <c r="Y50" s="97" t="s">
        <v>897</v>
      </c>
    </row>
    <row r="51" spans="1:25" ht="31.5">
      <c r="A51" s="469"/>
      <c r="B51" s="469"/>
      <c r="C51" s="469"/>
      <c r="D51" s="106">
        <v>46</v>
      </c>
      <c r="E51" s="106" t="s">
        <v>82</v>
      </c>
      <c r="F51" s="120"/>
      <c r="G51" s="120"/>
      <c r="H51" s="120"/>
      <c r="I51" s="120"/>
      <c r="J51" s="116">
        <f t="shared" si="3"/>
        <v>0</v>
      </c>
      <c r="K51" s="120"/>
      <c r="L51" s="120"/>
      <c r="M51" s="120"/>
      <c r="N51" s="120"/>
      <c r="O51" s="120"/>
      <c r="P51" s="116">
        <v>0</v>
      </c>
      <c r="Q51" s="120"/>
      <c r="R51" s="120"/>
      <c r="S51" s="120"/>
      <c r="T51" s="120"/>
      <c r="U51" s="120"/>
      <c r="V51" s="120"/>
      <c r="W51" s="117"/>
      <c r="X51" s="117">
        <f t="shared" si="2"/>
        <v>0</v>
      </c>
      <c r="Y51" s="97"/>
    </row>
    <row r="52" spans="1:25" ht="31.5">
      <c r="A52" s="469"/>
      <c r="B52" s="469"/>
      <c r="C52" s="469"/>
      <c r="D52" s="106">
        <v>47</v>
      </c>
      <c r="E52" s="106" t="s">
        <v>83</v>
      </c>
      <c r="F52" s="121"/>
      <c r="G52" s="120"/>
      <c r="H52" s="120"/>
      <c r="I52" s="120"/>
      <c r="J52" s="116">
        <f t="shared" si="3"/>
        <v>0</v>
      </c>
      <c r="K52" s="120"/>
      <c r="L52" s="120"/>
      <c r="M52" s="120"/>
      <c r="N52" s="120"/>
      <c r="O52" s="120"/>
      <c r="P52" s="116">
        <f>N51+O52</f>
        <v>0</v>
      </c>
      <c r="Q52" s="120"/>
      <c r="R52" s="120"/>
      <c r="S52" s="120"/>
      <c r="T52" s="120"/>
      <c r="U52" s="120"/>
      <c r="V52" s="120"/>
      <c r="W52" s="117"/>
      <c r="X52" s="117">
        <f t="shared" si="2"/>
        <v>0</v>
      </c>
      <c r="Y52" s="97" t="s">
        <v>54</v>
      </c>
    </row>
    <row r="53" spans="1:25" ht="15.75">
      <c r="A53" s="469"/>
      <c r="B53" s="469"/>
      <c r="C53" s="469"/>
      <c r="D53" s="106">
        <v>48</v>
      </c>
      <c r="E53" s="106" t="s">
        <v>84</v>
      </c>
      <c r="F53" s="120"/>
      <c r="G53" s="120"/>
      <c r="H53" s="120"/>
      <c r="I53" s="120"/>
      <c r="J53" s="116">
        <f t="shared" si="3"/>
        <v>0</v>
      </c>
      <c r="K53" s="120"/>
      <c r="L53" s="120"/>
      <c r="M53" s="120"/>
      <c r="N53" s="120"/>
      <c r="O53" s="120"/>
      <c r="P53" s="116">
        <f>N52+O53</f>
        <v>0</v>
      </c>
      <c r="Q53" s="120"/>
      <c r="R53" s="120"/>
      <c r="S53" s="121"/>
      <c r="T53" s="121"/>
      <c r="U53" s="120"/>
      <c r="V53" s="120"/>
      <c r="W53" s="117"/>
      <c r="X53" s="117">
        <f t="shared" si="2"/>
        <v>0</v>
      </c>
      <c r="Y53" s="97"/>
    </row>
    <row r="54" spans="1:25" ht="47.25">
      <c r="A54" s="469"/>
      <c r="B54" s="469"/>
      <c r="C54" s="469"/>
      <c r="D54" s="106">
        <v>49</v>
      </c>
      <c r="E54" s="106" t="s">
        <v>85</v>
      </c>
      <c r="F54" s="120"/>
      <c r="G54" s="120"/>
      <c r="H54" s="120"/>
      <c r="I54" s="120"/>
      <c r="J54" s="116">
        <f t="shared" si="3"/>
        <v>0</v>
      </c>
      <c r="K54" s="120"/>
      <c r="L54" s="120"/>
      <c r="M54" s="120"/>
      <c r="N54" s="127"/>
      <c r="O54" s="120"/>
      <c r="P54" s="116">
        <f>N53+O54</f>
        <v>0</v>
      </c>
      <c r="Q54" s="120"/>
      <c r="R54" s="120"/>
      <c r="S54" s="120"/>
      <c r="T54" s="120"/>
      <c r="U54" s="120"/>
      <c r="V54" s="120"/>
      <c r="W54" s="117"/>
      <c r="X54" s="117">
        <f t="shared" si="2"/>
        <v>0</v>
      </c>
      <c r="Y54" s="97"/>
    </row>
    <row r="55" spans="1:25" ht="31.5">
      <c r="A55" s="469"/>
      <c r="B55" s="469"/>
      <c r="C55" s="469"/>
      <c r="D55" s="106">
        <v>50</v>
      </c>
      <c r="E55" s="106" t="s">
        <v>86</v>
      </c>
      <c r="F55" s="120"/>
      <c r="G55" s="120"/>
      <c r="H55" s="120"/>
      <c r="I55" s="120"/>
      <c r="J55" s="116">
        <f t="shared" si="3"/>
        <v>0</v>
      </c>
      <c r="K55" s="122"/>
      <c r="L55" s="122"/>
      <c r="M55" s="120"/>
      <c r="N55" s="120">
        <v>0</v>
      </c>
      <c r="O55" s="120"/>
      <c r="P55" s="116">
        <f t="shared" ref="P55:P67" si="4">N55+O55</f>
        <v>0</v>
      </c>
      <c r="Q55" s="120"/>
      <c r="R55" s="120"/>
      <c r="S55" s="121"/>
      <c r="T55" s="121"/>
      <c r="U55" s="120"/>
      <c r="V55" s="120"/>
      <c r="W55" s="117"/>
      <c r="X55" s="117">
        <f t="shared" si="2"/>
        <v>0</v>
      </c>
      <c r="Y55" s="97"/>
    </row>
    <row r="56" spans="1:25" ht="31.5" hidden="1">
      <c r="A56" s="469"/>
      <c r="B56" s="469"/>
      <c r="C56" s="469"/>
      <c r="D56" s="106">
        <v>51</v>
      </c>
      <c r="E56" s="106" t="s">
        <v>44</v>
      </c>
      <c r="F56" s="120"/>
      <c r="G56" s="120"/>
      <c r="H56" s="120"/>
      <c r="I56" s="120"/>
      <c r="J56" s="116">
        <f t="shared" si="3"/>
        <v>0</v>
      </c>
      <c r="K56" s="120"/>
      <c r="L56" s="120"/>
      <c r="M56" s="120"/>
      <c r="N56" s="120"/>
      <c r="O56" s="120"/>
      <c r="P56" s="116">
        <f t="shared" si="4"/>
        <v>0</v>
      </c>
      <c r="Q56" s="120"/>
      <c r="R56" s="120"/>
      <c r="S56" s="120"/>
      <c r="T56" s="120"/>
      <c r="U56" s="120"/>
      <c r="V56" s="120"/>
      <c r="W56" s="117"/>
      <c r="X56" s="117">
        <f t="shared" si="2"/>
        <v>0</v>
      </c>
      <c r="Y56" s="97"/>
    </row>
    <row r="57" spans="1:25" ht="15.75">
      <c r="A57" s="469"/>
      <c r="B57" s="476" t="s">
        <v>87</v>
      </c>
      <c r="C57" s="476" t="s">
        <v>88</v>
      </c>
      <c r="D57" s="106">
        <v>52</v>
      </c>
      <c r="E57" s="106" t="s">
        <v>89</v>
      </c>
      <c r="F57" s="120"/>
      <c r="G57" s="120"/>
      <c r="H57" s="120"/>
      <c r="I57" s="120"/>
      <c r="J57" s="116">
        <f t="shared" si="3"/>
        <v>0</v>
      </c>
      <c r="K57" s="122"/>
      <c r="L57" s="122"/>
      <c r="M57" s="120"/>
      <c r="N57" s="120"/>
      <c r="O57" s="122"/>
      <c r="P57" s="117">
        <f t="shared" si="4"/>
        <v>0</v>
      </c>
      <c r="Q57" s="120"/>
      <c r="R57" s="120"/>
      <c r="S57" s="120"/>
      <c r="T57" s="120"/>
      <c r="U57" s="120"/>
      <c r="V57" s="120"/>
      <c r="W57" s="117"/>
      <c r="X57" s="117">
        <f t="shared" si="2"/>
        <v>0</v>
      </c>
      <c r="Y57" s="97"/>
    </row>
    <row r="58" spans="1:25" ht="31.5">
      <c r="A58" s="469"/>
      <c r="B58" s="469"/>
      <c r="C58" s="469"/>
      <c r="D58" s="106">
        <v>53</v>
      </c>
      <c r="E58" s="106" t="s">
        <v>90</v>
      </c>
      <c r="F58" s="120"/>
      <c r="G58" s="120"/>
      <c r="H58" s="120"/>
      <c r="I58" s="120"/>
      <c r="J58" s="116">
        <f t="shared" si="3"/>
        <v>0</v>
      </c>
      <c r="K58" s="120"/>
      <c r="L58" s="120"/>
      <c r="M58" s="120"/>
      <c r="N58" s="120"/>
      <c r="O58" s="122"/>
      <c r="P58" s="117">
        <f t="shared" si="4"/>
        <v>0</v>
      </c>
      <c r="Q58" s="120"/>
      <c r="R58" s="120"/>
      <c r="S58" s="120"/>
      <c r="T58" s="120"/>
      <c r="U58" s="120"/>
      <c r="V58" s="120"/>
      <c r="W58" s="117"/>
      <c r="X58" s="117">
        <f t="shared" si="2"/>
        <v>0</v>
      </c>
      <c r="Y58" s="245"/>
    </row>
    <row r="59" spans="1:25" ht="189">
      <c r="A59" s="469"/>
      <c r="B59" s="469"/>
      <c r="C59" s="469"/>
      <c r="D59" s="106">
        <v>54</v>
      </c>
      <c r="E59" s="106" t="s">
        <v>91</v>
      </c>
      <c r="F59" s="120"/>
      <c r="G59" s="120"/>
      <c r="H59" s="120"/>
      <c r="I59" s="121"/>
      <c r="J59" s="125">
        <f t="shared" si="3"/>
        <v>0</v>
      </c>
      <c r="K59" s="120"/>
      <c r="L59" s="120"/>
      <c r="M59" s="120"/>
      <c r="N59" s="120"/>
      <c r="O59" s="120"/>
      <c r="P59" s="116">
        <f t="shared" si="4"/>
        <v>0</v>
      </c>
      <c r="Q59" s="120"/>
      <c r="R59" s="120"/>
      <c r="S59" s="121"/>
      <c r="T59" s="121">
        <v>1</v>
      </c>
      <c r="U59" s="115"/>
      <c r="V59" s="120"/>
      <c r="W59" s="117"/>
      <c r="X59" s="117">
        <f t="shared" si="2"/>
        <v>1</v>
      </c>
      <c r="Y59" s="97" t="s">
        <v>802</v>
      </c>
    </row>
    <row r="60" spans="1:25" ht="31.5">
      <c r="A60" s="469"/>
      <c r="B60" s="469"/>
      <c r="C60" s="469"/>
      <c r="D60" s="106">
        <v>55</v>
      </c>
      <c r="E60" s="106" t="s">
        <v>93</v>
      </c>
      <c r="F60" s="120"/>
      <c r="G60" s="120"/>
      <c r="H60" s="120"/>
      <c r="I60" s="120"/>
      <c r="J60" s="116">
        <f t="shared" si="3"/>
        <v>0</v>
      </c>
      <c r="K60" s="120"/>
      <c r="L60" s="120"/>
      <c r="M60" s="120"/>
      <c r="N60" s="120"/>
      <c r="O60" s="122"/>
      <c r="P60" s="117">
        <f t="shared" si="4"/>
        <v>0</v>
      </c>
      <c r="Q60" s="120"/>
      <c r="R60" s="120"/>
      <c r="S60" s="120"/>
      <c r="T60" s="120"/>
      <c r="U60" s="120"/>
      <c r="V60" s="120"/>
      <c r="W60" s="117"/>
      <c r="X60" s="117">
        <f t="shared" si="2"/>
        <v>0</v>
      </c>
      <c r="Y60" s="97"/>
    </row>
    <row r="61" spans="1:25" ht="31.5">
      <c r="A61" s="469"/>
      <c r="B61" s="469"/>
      <c r="C61" s="469"/>
      <c r="D61" s="106">
        <v>56</v>
      </c>
      <c r="E61" s="106" t="s">
        <v>94</v>
      </c>
      <c r="F61" s="120"/>
      <c r="G61" s="120"/>
      <c r="H61" s="120"/>
      <c r="I61" s="120"/>
      <c r="J61" s="116">
        <f t="shared" si="3"/>
        <v>0</v>
      </c>
      <c r="K61" s="120"/>
      <c r="L61" s="120"/>
      <c r="M61" s="120"/>
      <c r="N61" s="120"/>
      <c r="O61" s="120"/>
      <c r="P61" s="116">
        <f t="shared" si="4"/>
        <v>0</v>
      </c>
      <c r="Q61" s="120"/>
      <c r="R61" s="120"/>
      <c r="S61" s="120"/>
      <c r="T61" s="120"/>
      <c r="U61" s="120"/>
      <c r="V61" s="120"/>
      <c r="W61" s="117"/>
      <c r="X61" s="117">
        <f t="shared" si="2"/>
        <v>0</v>
      </c>
      <c r="Y61" s="97"/>
    </row>
    <row r="62" spans="1:25" ht="94.5">
      <c r="A62" s="469"/>
      <c r="B62" s="469"/>
      <c r="C62" s="469"/>
      <c r="D62" s="106">
        <v>57</v>
      </c>
      <c r="E62" s="106" t="s">
        <v>95</v>
      </c>
      <c r="F62" s="120"/>
      <c r="G62" s="120"/>
      <c r="H62" s="120"/>
      <c r="I62" s="121"/>
      <c r="J62" s="125">
        <f t="shared" si="3"/>
        <v>0</v>
      </c>
      <c r="K62" s="120"/>
      <c r="L62" s="120"/>
      <c r="M62" s="120"/>
      <c r="N62" s="120"/>
      <c r="O62" s="120"/>
      <c r="P62" s="116">
        <f t="shared" si="4"/>
        <v>0</v>
      </c>
      <c r="Q62" s="121"/>
      <c r="R62" s="121">
        <v>2</v>
      </c>
      <c r="S62" s="97"/>
      <c r="T62" s="120"/>
      <c r="U62" s="120"/>
      <c r="V62" s="120"/>
      <c r="W62" s="117"/>
      <c r="X62" s="117">
        <f t="shared" si="2"/>
        <v>2</v>
      </c>
      <c r="Y62" s="97" t="s">
        <v>377</v>
      </c>
    </row>
    <row r="63" spans="1:25" ht="31.5">
      <c r="A63" s="469"/>
      <c r="B63" s="469"/>
      <c r="C63" s="469"/>
      <c r="D63" s="106">
        <v>58</v>
      </c>
      <c r="E63" s="106" t="s">
        <v>97</v>
      </c>
      <c r="F63" s="120"/>
      <c r="G63" s="120"/>
      <c r="H63" s="120"/>
      <c r="I63" s="120"/>
      <c r="J63" s="116">
        <f t="shared" si="3"/>
        <v>0</v>
      </c>
      <c r="K63" s="120"/>
      <c r="L63" s="120"/>
      <c r="M63" s="120"/>
      <c r="N63" s="120"/>
      <c r="O63" s="122"/>
      <c r="P63" s="117">
        <f t="shared" si="4"/>
        <v>0</v>
      </c>
      <c r="Q63" s="120"/>
      <c r="R63" s="120"/>
      <c r="S63" s="120"/>
      <c r="T63" s="120"/>
      <c r="U63" s="120"/>
      <c r="V63" s="120"/>
      <c r="W63" s="117"/>
      <c r="X63" s="117">
        <f t="shared" si="2"/>
        <v>0</v>
      </c>
      <c r="Y63" s="245"/>
    </row>
    <row r="64" spans="1:25" ht="15.75">
      <c r="A64" s="469"/>
      <c r="B64" s="469"/>
      <c r="C64" s="469"/>
      <c r="D64" s="106">
        <v>59</v>
      </c>
      <c r="E64" s="106" t="s">
        <v>98</v>
      </c>
      <c r="F64" s="120"/>
      <c r="G64" s="120"/>
      <c r="H64" s="120"/>
      <c r="I64" s="120"/>
      <c r="J64" s="116">
        <f t="shared" si="3"/>
        <v>0</v>
      </c>
      <c r="K64" s="120"/>
      <c r="L64" s="120"/>
      <c r="M64" s="120"/>
      <c r="N64" s="120"/>
      <c r="O64" s="120"/>
      <c r="P64" s="116">
        <f t="shared" si="4"/>
        <v>0</v>
      </c>
      <c r="Q64" s="120"/>
      <c r="R64" s="120"/>
      <c r="S64" s="120"/>
      <c r="T64" s="120"/>
      <c r="U64" s="120"/>
      <c r="V64" s="120"/>
      <c r="W64" s="117"/>
      <c r="X64" s="117">
        <f t="shared" si="2"/>
        <v>0</v>
      </c>
      <c r="Y64" s="97"/>
    </row>
    <row r="65" spans="1:25" ht="31.5">
      <c r="A65" s="469"/>
      <c r="B65" s="469"/>
      <c r="C65" s="469"/>
      <c r="D65" s="106">
        <v>60</v>
      </c>
      <c r="E65" s="106" t="s">
        <v>99</v>
      </c>
      <c r="F65" s="120"/>
      <c r="G65" s="120"/>
      <c r="H65" s="120"/>
      <c r="I65" s="120"/>
      <c r="J65" s="116">
        <f t="shared" si="3"/>
        <v>0</v>
      </c>
      <c r="K65" s="120"/>
      <c r="L65" s="120"/>
      <c r="M65" s="120"/>
      <c r="N65" s="120"/>
      <c r="O65" s="120"/>
      <c r="P65" s="116">
        <f t="shared" si="4"/>
        <v>0</v>
      </c>
      <c r="Q65" s="120"/>
      <c r="R65" s="120"/>
      <c r="S65" s="120"/>
      <c r="T65" s="120"/>
      <c r="U65" s="120"/>
      <c r="V65" s="120"/>
      <c r="W65" s="117"/>
      <c r="X65" s="117">
        <f t="shared" si="2"/>
        <v>0</v>
      </c>
      <c r="Y65" s="97"/>
    </row>
    <row r="66" spans="1:25" ht="31.5" hidden="1">
      <c r="A66" s="469"/>
      <c r="B66" s="469"/>
      <c r="C66" s="469"/>
      <c r="D66" s="106">
        <v>61</v>
      </c>
      <c r="E66" s="106" t="s">
        <v>44</v>
      </c>
      <c r="F66" s="120"/>
      <c r="G66" s="120"/>
      <c r="H66" s="120"/>
      <c r="I66" s="120"/>
      <c r="J66" s="116">
        <f t="shared" si="3"/>
        <v>0</v>
      </c>
      <c r="K66" s="120"/>
      <c r="L66" s="120"/>
      <c r="M66" s="120"/>
      <c r="N66" s="120"/>
      <c r="O66" s="120"/>
      <c r="P66" s="116">
        <f t="shared" si="4"/>
        <v>0</v>
      </c>
      <c r="Q66" s="120"/>
      <c r="R66" s="120"/>
      <c r="S66" s="120"/>
      <c r="T66" s="120"/>
      <c r="U66" s="120"/>
      <c r="V66" s="120"/>
      <c r="W66" s="117"/>
      <c r="X66" s="117">
        <f t="shared" si="2"/>
        <v>0</v>
      </c>
      <c r="Y66" s="97"/>
    </row>
    <row r="67" spans="1:25" ht="126">
      <c r="A67" s="469"/>
      <c r="B67" s="106" t="s">
        <v>100</v>
      </c>
      <c r="C67" s="106" t="s">
        <v>101</v>
      </c>
      <c r="D67" s="106">
        <v>62</v>
      </c>
      <c r="E67" s="106" t="s">
        <v>102</v>
      </c>
      <c r="F67" s="120"/>
      <c r="G67" s="120"/>
      <c r="H67" s="120"/>
      <c r="I67" s="120"/>
      <c r="J67" s="116">
        <f t="shared" si="3"/>
        <v>0</v>
      </c>
      <c r="K67" s="120"/>
      <c r="L67" s="120"/>
      <c r="M67" s="120"/>
      <c r="N67" s="120"/>
      <c r="O67" s="120"/>
      <c r="P67" s="116">
        <f t="shared" si="4"/>
        <v>0</v>
      </c>
      <c r="Q67" s="122"/>
      <c r="R67" s="122"/>
      <c r="S67" s="121"/>
      <c r="T67" s="121"/>
      <c r="U67" s="121"/>
      <c r="V67" s="121"/>
      <c r="W67" s="117"/>
      <c r="X67" s="117">
        <f t="shared" si="2"/>
        <v>0</v>
      </c>
      <c r="Y67" s="135"/>
    </row>
    <row r="68" spans="1:25" ht="15.75">
      <c r="A68" s="469"/>
      <c r="B68" s="478" t="s">
        <v>103</v>
      </c>
      <c r="C68" s="469"/>
      <c r="D68" s="469"/>
      <c r="E68" s="99"/>
      <c r="F68" s="102">
        <f t="shared" ref="F68:W68" si="5">SUM(F6:F67)</f>
        <v>63.821630000000006</v>
      </c>
      <c r="G68" s="102">
        <f t="shared" si="5"/>
        <v>0</v>
      </c>
      <c r="H68" s="102">
        <f t="shared" si="5"/>
        <v>0</v>
      </c>
      <c r="I68" s="102">
        <f t="shared" si="5"/>
        <v>0</v>
      </c>
      <c r="J68" s="102">
        <f t="shared" si="5"/>
        <v>0</v>
      </c>
      <c r="K68" s="102">
        <f t="shared" si="5"/>
        <v>0</v>
      </c>
      <c r="L68" s="102">
        <f t="shared" si="5"/>
        <v>3.2269999999999999</v>
      </c>
      <c r="M68" s="102">
        <f t="shared" si="5"/>
        <v>0</v>
      </c>
      <c r="N68" s="102">
        <f t="shared" si="5"/>
        <v>0</v>
      </c>
      <c r="O68" s="102">
        <f t="shared" si="5"/>
        <v>79.873999999999995</v>
      </c>
      <c r="P68" s="102">
        <f t="shared" si="5"/>
        <v>79.873999999999995</v>
      </c>
      <c r="Q68" s="102">
        <f t="shared" si="5"/>
        <v>0</v>
      </c>
      <c r="R68" s="102">
        <f t="shared" si="5"/>
        <v>83.797499999999999</v>
      </c>
      <c r="S68" s="102">
        <f t="shared" si="5"/>
        <v>0</v>
      </c>
      <c r="T68" s="102">
        <f t="shared" si="5"/>
        <v>470.21064999999999</v>
      </c>
      <c r="U68" s="102">
        <f t="shared" si="5"/>
        <v>0</v>
      </c>
      <c r="V68" s="102">
        <f t="shared" si="5"/>
        <v>0</v>
      </c>
      <c r="W68" s="102">
        <f t="shared" si="5"/>
        <v>0</v>
      </c>
      <c r="X68" s="102">
        <f t="shared" si="2"/>
        <v>700.93077999999991</v>
      </c>
      <c r="Y68" s="135"/>
    </row>
    <row r="69" spans="1:25" ht="81.75" customHeight="1">
      <c r="A69" s="477" t="s">
        <v>104</v>
      </c>
      <c r="B69" s="106" t="s">
        <v>105</v>
      </c>
      <c r="C69" s="106" t="s">
        <v>106</v>
      </c>
      <c r="D69" s="106">
        <v>63</v>
      </c>
      <c r="E69" s="106" t="s">
        <v>107</v>
      </c>
      <c r="F69" s="106">
        <v>0</v>
      </c>
      <c r="G69" s="106"/>
      <c r="H69" s="106"/>
      <c r="I69" s="106"/>
      <c r="J69" s="106"/>
      <c r="K69" s="106"/>
      <c r="L69" s="106"/>
      <c r="M69" s="106"/>
      <c r="N69" s="106"/>
      <c r="O69" s="106"/>
      <c r="P69" s="106">
        <v>0</v>
      </c>
      <c r="Q69" s="169"/>
      <c r="R69" s="169"/>
      <c r="S69" s="163"/>
      <c r="T69" s="163">
        <v>0</v>
      </c>
      <c r="U69" s="169"/>
      <c r="V69" s="169">
        <v>1.5</v>
      </c>
      <c r="W69" s="163" t="s">
        <v>378</v>
      </c>
      <c r="X69" s="117">
        <f t="shared" si="2"/>
        <v>1.5</v>
      </c>
      <c r="Y69" s="135" t="s">
        <v>962</v>
      </c>
    </row>
    <row r="70" spans="1:25" ht="220.5">
      <c r="A70" s="469"/>
      <c r="B70" s="476" t="s">
        <v>108</v>
      </c>
      <c r="C70" s="476" t="s">
        <v>109</v>
      </c>
      <c r="D70" s="106">
        <v>64</v>
      </c>
      <c r="E70" s="106" t="s">
        <v>110</v>
      </c>
      <c r="F70" s="120"/>
      <c r="G70" s="120"/>
      <c r="H70" s="120"/>
      <c r="I70" s="121"/>
      <c r="J70" s="125">
        <f t="shared" ref="J70:J79" si="6">H70+I70</f>
        <v>0</v>
      </c>
      <c r="K70" s="122"/>
      <c r="L70" s="122">
        <v>0</v>
      </c>
      <c r="M70" s="120"/>
      <c r="N70" s="120">
        <v>0</v>
      </c>
      <c r="O70" s="122">
        <v>0.51</v>
      </c>
      <c r="P70" s="117">
        <f t="shared" ref="P70:P78" si="7">N70+O70</f>
        <v>0.51</v>
      </c>
      <c r="Q70" s="166"/>
      <c r="R70" s="120">
        <v>0</v>
      </c>
      <c r="S70" s="122"/>
      <c r="T70" s="122">
        <v>1</v>
      </c>
      <c r="U70" s="137"/>
      <c r="V70" s="121">
        <v>0.5</v>
      </c>
      <c r="W70" s="117"/>
      <c r="X70" s="117">
        <f t="shared" si="2"/>
        <v>2.0099999999999998</v>
      </c>
      <c r="Y70" s="135" t="s">
        <v>1051</v>
      </c>
    </row>
    <row r="71" spans="1:25" ht="29.25" customHeight="1">
      <c r="A71" s="469"/>
      <c r="B71" s="469"/>
      <c r="C71" s="469"/>
      <c r="D71" s="106">
        <v>65</v>
      </c>
      <c r="E71" s="106" t="s">
        <v>111</v>
      </c>
      <c r="F71" s="120"/>
      <c r="G71" s="120"/>
      <c r="H71" s="120"/>
      <c r="I71" s="120"/>
      <c r="J71" s="116">
        <f t="shared" si="6"/>
        <v>0</v>
      </c>
      <c r="K71" s="120"/>
      <c r="L71" s="120"/>
      <c r="M71" s="120"/>
      <c r="N71" s="120"/>
      <c r="O71" s="120"/>
      <c r="P71" s="116">
        <f t="shared" si="7"/>
        <v>0</v>
      </c>
      <c r="Q71" s="120"/>
      <c r="R71" s="120"/>
      <c r="S71" s="121"/>
      <c r="T71" s="121">
        <v>0.25</v>
      </c>
      <c r="U71" s="121"/>
      <c r="V71" s="121"/>
      <c r="W71" s="117"/>
      <c r="X71" s="117">
        <f t="shared" si="2"/>
        <v>0.25</v>
      </c>
      <c r="Y71" s="135" t="s">
        <v>1052</v>
      </c>
    </row>
    <row r="72" spans="1:25" ht="126">
      <c r="A72" s="469"/>
      <c r="B72" s="469"/>
      <c r="C72" s="469"/>
      <c r="D72" s="106">
        <v>66</v>
      </c>
      <c r="E72" s="106" t="s">
        <v>112</v>
      </c>
      <c r="F72" s="120"/>
      <c r="G72" s="120"/>
      <c r="H72" s="120"/>
      <c r="I72" s="120"/>
      <c r="J72" s="116">
        <f t="shared" si="6"/>
        <v>0</v>
      </c>
      <c r="K72" s="120"/>
      <c r="L72" s="120"/>
      <c r="M72" s="120"/>
      <c r="N72" s="120"/>
      <c r="O72" s="122"/>
      <c r="P72" s="117">
        <f t="shared" si="7"/>
        <v>0</v>
      </c>
      <c r="Q72" s="120"/>
      <c r="R72" s="120"/>
      <c r="S72" s="121"/>
      <c r="T72" s="121">
        <v>0.09</v>
      </c>
      <c r="U72" s="120"/>
      <c r="V72" s="120">
        <v>0</v>
      </c>
      <c r="W72" s="117"/>
      <c r="X72" s="117">
        <f t="shared" si="2"/>
        <v>0.09</v>
      </c>
      <c r="Y72" s="135" t="s">
        <v>1053</v>
      </c>
    </row>
    <row r="73" spans="1:25" ht="236.25">
      <c r="A73" s="469"/>
      <c r="B73" s="469"/>
      <c r="C73" s="469"/>
      <c r="D73" s="106">
        <v>67</v>
      </c>
      <c r="E73" s="106" t="s">
        <v>113</v>
      </c>
      <c r="F73" s="120"/>
      <c r="G73" s="120"/>
      <c r="H73" s="120"/>
      <c r="I73" s="120"/>
      <c r="J73" s="116">
        <f t="shared" si="6"/>
        <v>0</v>
      </c>
      <c r="K73" s="120"/>
      <c r="L73" s="120"/>
      <c r="M73" s="120"/>
      <c r="N73" s="120"/>
      <c r="O73" s="122"/>
      <c r="P73" s="117">
        <f t="shared" si="7"/>
        <v>0</v>
      </c>
      <c r="Q73" s="120"/>
      <c r="R73" s="120"/>
      <c r="S73" s="121"/>
      <c r="T73" s="121">
        <v>34.590000000000003</v>
      </c>
      <c r="U73" s="121"/>
      <c r="V73" s="121">
        <v>1</v>
      </c>
      <c r="W73" s="117"/>
      <c r="X73" s="117">
        <f t="shared" si="2"/>
        <v>35.590000000000003</v>
      </c>
      <c r="Y73" s="135" t="s">
        <v>1064</v>
      </c>
    </row>
    <row r="74" spans="1:25" ht="110.25">
      <c r="A74" s="469"/>
      <c r="B74" s="469"/>
      <c r="C74" s="469"/>
      <c r="D74" s="106">
        <v>68</v>
      </c>
      <c r="E74" s="106" t="s">
        <v>114</v>
      </c>
      <c r="F74" s="121"/>
      <c r="G74" s="120"/>
      <c r="H74" s="120"/>
      <c r="I74" s="120"/>
      <c r="J74" s="116">
        <f t="shared" si="6"/>
        <v>0</v>
      </c>
      <c r="K74" s="122"/>
      <c r="L74" s="122"/>
      <c r="M74" s="120"/>
      <c r="N74" s="120"/>
      <c r="O74" s="122"/>
      <c r="P74" s="117">
        <f t="shared" si="7"/>
        <v>0</v>
      </c>
      <c r="Q74" s="120"/>
      <c r="R74" s="120"/>
      <c r="S74" s="121"/>
      <c r="T74" s="121">
        <v>1.51</v>
      </c>
      <c r="U74" s="121"/>
      <c r="V74" s="121">
        <v>1.4</v>
      </c>
      <c r="W74" s="117"/>
      <c r="X74" s="117">
        <f t="shared" si="2"/>
        <v>2.91</v>
      </c>
      <c r="Y74" s="135" t="s">
        <v>1055</v>
      </c>
    </row>
    <row r="75" spans="1:25" ht="409.5">
      <c r="A75" s="469"/>
      <c r="B75" s="476" t="s">
        <v>115</v>
      </c>
      <c r="C75" s="476" t="s">
        <v>116</v>
      </c>
      <c r="D75" s="106">
        <v>69</v>
      </c>
      <c r="E75" s="106" t="s">
        <v>117</v>
      </c>
      <c r="F75" s="138"/>
      <c r="G75" s="138"/>
      <c r="H75" s="138"/>
      <c r="I75" s="138"/>
      <c r="J75" s="116">
        <f t="shared" si="6"/>
        <v>0</v>
      </c>
      <c r="K75" s="138"/>
      <c r="L75" s="138"/>
      <c r="M75" s="138"/>
      <c r="N75" s="138"/>
      <c r="O75" s="138"/>
      <c r="P75" s="116">
        <f t="shared" si="7"/>
        <v>0</v>
      </c>
      <c r="Q75" s="140"/>
      <c r="R75" s="140">
        <v>0.2</v>
      </c>
      <c r="S75" s="140"/>
      <c r="T75" s="140">
        <f>1.8+94.76+4.738+1.76+1.421+0.474+2.2+26.5</f>
        <v>133.65300000000002</v>
      </c>
      <c r="U75" s="138"/>
      <c r="V75" s="138"/>
      <c r="W75" s="117"/>
      <c r="X75" s="117">
        <f t="shared" si="2"/>
        <v>133.85300000000001</v>
      </c>
      <c r="Y75" s="319" t="s">
        <v>1045</v>
      </c>
    </row>
    <row r="76" spans="1:25" ht="204.75">
      <c r="A76" s="469"/>
      <c r="B76" s="469"/>
      <c r="C76" s="469"/>
      <c r="D76" s="106">
        <v>70</v>
      </c>
      <c r="E76" s="106" t="s">
        <v>118</v>
      </c>
      <c r="F76" s="140"/>
      <c r="G76" s="138"/>
      <c r="H76" s="138"/>
      <c r="I76" s="138"/>
      <c r="J76" s="116">
        <f t="shared" si="6"/>
        <v>0</v>
      </c>
      <c r="K76" s="142"/>
      <c r="L76" s="142">
        <v>0.18</v>
      </c>
      <c r="M76" s="138"/>
      <c r="N76" s="138"/>
      <c r="O76" s="138"/>
      <c r="P76" s="116">
        <f t="shared" si="7"/>
        <v>0</v>
      </c>
      <c r="Q76" s="138"/>
      <c r="R76" s="138"/>
      <c r="S76" s="140"/>
      <c r="T76" s="140">
        <v>1.1000000000000001</v>
      </c>
      <c r="U76" s="138"/>
      <c r="V76" s="138"/>
      <c r="W76" s="117"/>
      <c r="X76" s="117">
        <f t="shared" si="2"/>
        <v>1.28</v>
      </c>
      <c r="Y76" s="224" t="s">
        <v>920</v>
      </c>
    </row>
    <row r="77" spans="1:25" ht="15.75">
      <c r="A77" s="469"/>
      <c r="B77" s="469"/>
      <c r="C77" s="469"/>
      <c r="D77" s="106">
        <v>71</v>
      </c>
      <c r="E77" s="106" t="s">
        <v>119</v>
      </c>
      <c r="F77" s="138"/>
      <c r="G77" s="138"/>
      <c r="H77" s="138"/>
      <c r="I77" s="138"/>
      <c r="J77" s="116">
        <f t="shared" si="6"/>
        <v>0</v>
      </c>
      <c r="K77" s="138"/>
      <c r="L77" s="138"/>
      <c r="M77" s="138"/>
      <c r="N77" s="138"/>
      <c r="O77" s="138"/>
      <c r="P77" s="116">
        <f t="shared" si="7"/>
        <v>0</v>
      </c>
      <c r="Q77" s="138"/>
      <c r="R77" s="138"/>
      <c r="S77" s="138"/>
      <c r="T77" s="138"/>
      <c r="U77" s="138"/>
      <c r="V77" s="138"/>
      <c r="W77" s="117"/>
      <c r="X77" s="117">
        <f t="shared" si="2"/>
        <v>0</v>
      </c>
      <c r="Y77" s="135"/>
    </row>
    <row r="78" spans="1:25" ht="31.5">
      <c r="A78" s="469"/>
      <c r="B78" s="469"/>
      <c r="C78" s="469"/>
      <c r="D78" s="106">
        <v>72</v>
      </c>
      <c r="E78" s="106" t="s">
        <v>120</v>
      </c>
      <c r="F78" s="138"/>
      <c r="G78" s="138"/>
      <c r="H78" s="138"/>
      <c r="I78" s="143"/>
      <c r="J78" s="116">
        <f t="shared" si="6"/>
        <v>0</v>
      </c>
      <c r="K78" s="143"/>
      <c r="L78" s="143"/>
      <c r="M78" s="143"/>
      <c r="N78" s="143"/>
      <c r="O78" s="144"/>
      <c r="P78" s="145">
        <f t="shared" si="7"/>
        <v>0</v>
      </c>
      <c r="Q78" s="146"/>
      <c r="R78" s="146"/>
      <c r="S78" s="125"/>
      <c r="T78" s="125"/>
      <c r="U78" s="143"/>
      <c r="V78" s="143"/>
      <c r="W78" s="117"/>
      <c r="X78" s="117">
        <f t="shared" si="2"/>
        <v>0</v>
      </c>
      <c r="Y78" s="135"/>
    </row>
    <row r="79" spans="1:25" ht="409.5">
      <c r="A79" s="469"/>
      <c r="B79" s="476" t="s">
        <v>121</v>
      </c>
      <c r="C79" s="476" t="s">
        <v>122</v>
      </c>
      <c r="D79" s="106">
        <v>73</v>
      </c>
      <c r="E79" s="106" t="s">
        <v>123</v>
      </c>
      <c r="F79" s="147">
        <v>2.7</v>
      </c>
      <c r="G79" s="309"/>
      <c r="H79" s="147"/>
      <c r="I79" s="140">
        <v>0.4</v>
      </c>
      <c r="J79" s="148">
        <f t="shared" si="6"/>
        <v>0.4</v>
      </c>
      <c r="K79" s="109"/>
      <c r="L79" s="147">
        <v>1.8</v>
      </c>
      <c r="M79" s="109"/>
      <c r="N79" s="147"/>
      <c r="O79" s="147">
        <v>3.2</v>
      </c>
      <c r="P79" s="140">
        <v>3.2</v>
      </c>
      <c r="Q79" s="109"/>
      <c r="R79" s="147">
        <v>11</v>
      </c>
      <c r="S79" s="109"/>
      <c r="T79" s="147">
        <v>1.1000000000000001</v>
      </c>
      <c r="U79" s="109"/>
      <c r="V79" s="147">
        <v>0.5</v>
      </c>
      <c r="W79" s="134"/>
      <c r="X79" s="117">
        <f t="shared" si="2"/>
        <v>20.700000000000003</v>
      </c>
      <c r="Y79" s="97" t="s">
        <v>1114</v>
      </c>
    </row>
    <row r="80" spans="1:25" ht="78.75">
      <c r="A80" s="469"/>
      <c r="B80" s="469"/>
      <c r="C80" s="469"/>
      <c r="D80" s="106">
        <v>74</v>
      </c>
      <c r="E80" s="106" t="s">
        <v>124</v>
      </c>
      <c r="F80" s="147">
        <v>74</v>
      </c>
      <c r="G80" s="109"/>
      <c r="H80" s="147"/>
      <c r="I80" s="150"/>
      <c r="J80" s="140">
        <v>0</v>
      </c>
      <c r="K80" s="150"/>
      <c r="L80" s="150"/>
      <c r="M80" s="150"/>
      <c r="N80" s="150"/>
      <c r="O80" s="150"/>
      <c r="P80" s="140"/>
      <c r="Q80" s="150"/>
      <c r="R80" s="150"/>
      <c r="S80" s="150"/>
      <c r="T80" s="150"/>
      <c r="U80" s="150"/>
      <c r="V80" s="150"/>
      <c r="W80" s="117"/>
      <c r="X80" s="117">
        <f t="shared" si="2"/>
        <v>74</v>
      </c>
      <c r="Y80" s="97" t="s">
        <v>1115</v>
      </c>
    </row>
    <row r="81" spans="1:25" ht="30" customHeight="1">
      <c r="A81" s="469"/>
      <c r="B81" s="469"/>
      <c r="C81" s="469"/>
      <c r="D81" s="106">
        <v>75</v>
      </c>
      <c r="E81" s="106" t="s">
        <v>125</v>
      </c>
      <c r="F81" s="147">
        <v>2</v>
      </c>
      <c r="G81" s="109"/>
      <c r="H81" s="147"/>
      <c r="I81" s="150"/>
      <c r="J81" s="140">
        <v>0</v>
      </c>
      <c r="K81" s="150"/>
      <c r="L81" s="150"/>
      <c r="M81" s="150"/>
      <c r="N81" s="150"/>
      <c r="O81" s="150"/>
      <c r="P81" s="140"/>
      <c r="Q81" s="150"/>
      <c r="R81" s="150"/>
      <c r="S81" s="147"/>
      <c r="T81" s="147">
        <v>2.1</v>
      </c>
      <c r="U81" s="127"/>
      <c r="V81" s="150"/>
      <c r="W81" s="117"/>
      <c r="X81" s="117">
        <f t="shared" si="2"/>
        <v>4.0999999999999996</v>
      </c>
      <c r="Y81" s="97" t="s">
        <v>1116</v>
      </c>
    </row>
    <row r="82" spans="1:25" ht="189">
      <c r="A82" s="469"/>
      <c r="B82" s="469"/>
      <c r="C82" s="469"/>
      <c r="D82" s="106">
        <v>76</v>
      </c>
      <c r="E82" s="106" t="s">
        <v>126</v>
      </c>
      <c r="F82" s="150">
        <v>2.2999999999999998</v>
      </c>
      <c r="G82" s="150"/>
      <c r="H82" s="150"/>
      <c r="I82" s="150"/>
      <c r="J82" s="140">
        <v>0</v>
      </c>
      <c r="K82" s="150"/>
      <c r="L82" s="150"/>
      <c r="M82" s="150"/>
      <c r="N82" s="150"/>
      <c r="O82" s="147"/>
      <c r="P82" s="140">
        <v>0</v>
      </c>
      <c r="Q82" s="147"/>
      <c r="R82" s="147">
        <v>1.5</v>
      </c>
      <c r="S82" s="127"/>
      <c r="T82" s="150"/>
      <c r="U82" s="150"/>
      <c r="V82" s="150"/>
      <c r="W82" s="117"/>
      <c r="X82" s="117">
        <f t="shared" si="2"/>
        <v>3.8</v>
      </c>
      <c r="Y82" s="97" t="s">
        <v>1117</v>
      </c>
    </row>
    <row r="83" spans="1:25" ht="378">
      <c r="A83" s="469"/>
      <c r="B83" s="469"/>
      <c r="C83" s="469"/>
      <c r="D83" s="106">
        <v>77</v>
      </c>
      <c r="E83" s="106" t="s">
        <v>127</v>
      </c>
      <c r="F83" s="147">
        <v>0.5</v>
      </c>
      <c r="G83" s="147"/>
      <c r="H83" s="147"/>
      <c r="I83" s="147">
        <v>0.25</v>
      </c>
      <c r="J83" s="149">
        <f>I83</f>
        <v>0.25</v>
      </c>
      <c r="K83" s="109"/>
      <c r="L83" s="147">
        <v>4.0999999999999996</v>
      </c>
      <c r="M83" s="127"/>
      <c r="N83" s="150"/>
      <c r="O83" s="147">
        <v>1</v>
      </c>
      <c r="P83" s="149">
        <f>O83</f>
        <v>1</v>
      </c>
      <c r="Q83" s="109"/>
      <c r="R83" s="147"/>
      <c r="S83" s="150"/>
      <c r="T83" s="150"/>
      <c r="U83" s="147"/>
      <c r="V83" s="147"/>
      <c r="W83" s="134"/>
      <c r="X83" s="117">
        <f t="shared" si="2"/>
        <v>5.85</v>
      </c>
      <c r="Y83" s="97" t="s">
        <v>1118</v>
      </c>
    </row>
    <row r="84" spans="1:25" ht="30" customHeight="1">
      <c r="A84" s="469"/>
      <c r="B84" s="469"/>
      <c r="C84" s="469"/>
      <c r="D84" s="106">
        <v>78</v>
      </c>
      <c r="E84" s="106" t="s">
        <v>128</v>
      </c>
      <c r="F84" s="150"/>
      <c r="G84" s="150"/>
      <c r="H84" s="150"/>
      <c r="I84" s="150"/>
      <c r="J84" s="116">
        <f>H84+I84</f>
        <v>0</v>
      </c>
      <c r="K84" s="150"/>
      <c r="L84" s="150"/>
      <c r="M84" s="150"/>
      <c r="N84" s="150"/>
      <c r="O84" s="150"/>
      <c r="P84" s="116">
        <f>N84+O84</f>
        <v>0</v>
      </c>
      <c r="Q84" s="150"/>
      <c r="R84" s="150"/>
      <c r="S84" s="150"/>
      <c r="T84" s="150"/>
      <c r="U84" s="150"/>
      <c r="V84" s="150"/>
      <c r="W84" s="117"/>
      <c r="X84" s="117">
        <f t="shared" si="2"/>
        <v>0</v>
      </c>
      <c r="Y84" s="97"/>
    </row>
    <row r="85" spans="1:25" ht="15" hidden="1" customHeight="1">
      <c r="A85" s="469"/>
      <c r="B85" s="469"/>
      <c r="C85" s="469"/>
      <c r="D85" s="106">
        <v>79</v>
      </c>
      <c r="E85" s="106" t="s">
        <v>44</v>
      </c>
      <c r="F85" s="151"/>
      <c r="G85" s="151"/>
      <c r="H85" s="151"/>
      <c r="I85" s="151"/>
      <c r="J85" s="116">
        <f>H85+I85</f>
        <v>0</v>
      </c>
      <c r="K85" s="151"/>
      <c r="L85" s="151"/>
      <c r="M85" s="151"/>
      <c r="N85" s="151"/>
      <c r="O85" s="151"/>
      <c r="P85" s="116">
        <f>N85+O85</f>
        <v>0</v>
      </c>
      <c r="Q85" s="151"/>
      <c r="R85" s="151"/>
      <c r="S85" s="151"/>
      <c r="T85" s="151"/>
      <c r="U85" s="151"/>
      <c r="V85" s="151"/>
      <c r="W85" s="117"/>
      <c r="X85" s="117">
        <f t="shared" si="2"/>
        <v>0</v>
      </c>
      <c r="Y85" s="97"/>
    </row>
    <row r="86" spans="1:25" ht="50.25" customHeight="1">
      <c r="A86" s="469"/>
      <c r="B86" s="476" t="s">
        <v>129</v>
      </c>
      <c r="C86" s="476" t="s">
        <v>130</v>
      </c>
      <c r="D86" s="106">
        <v>80</v>
      </c>
      <c r="E86" s="106" t="s">
        <v>131</v>
      </c>
      <c r="F86" s="120"/>
      <c r="G86" s="120"/>
      <c r="H86" s="120"/>
      <c r="I86" s="120"/>
      <c r="J86" s="116">
        <v>0</v>
      </c>
      <c r="K86" s="120"/>
      <c r="L86" s="120"/>
      <c r="M86" s="120"/>
      <c r="N86" s="120"/>
      <c r="O86" s="152"/>
      <c r="P86" s="116">
        <v>0</v>
      </c>
      <c r="Q86" s="122"/>
      <c r="R86" s="122"/>
      <c r="S86" s="121"/>
      <c r="T86" s="121"/>
      <c r="U86" s="120"/>
      <c r="V86" s="120"/>
      <c r="W86" s="117"/>
      <c r="X86" s="117">
        <f t="shared" si="2"/>
        <v>0</v>
      </c>
      <c r="Y86" s="97"/>
    </row>
    <row r="87" spans="1:25" ht="31.5">
      <c r="A87" s="469"/>
      <c r="B87" s="469"/>
      <c r="C87" s="469"/>
      <c r="D87" s="106">
        <v>81</v>
      </c>
      <c r="E87" s="106" t="s">
        <v>132</v>
      </c>
      <c r="F87" s="120"/>
      <c r="G87" s="120"/>
      <c r="H87" s="120"/>
      <c r="I87" s="120"/>
      <c r="J87" s="116">
        <v>0</v>
      </c>
      <c r="K87" s="120"/>
      <c r="L87" s="120"/>
      <c r="M87" s="120"/>
      <c r="N87" s="120"/>
      <c r="O87" s="120"/>
      <c r="P87" s="116">
        <v>0</v>
      </c>
      <c r="Q87" s="122"/>
      <c r="R87" s="122"/>
      <c r="S87" s="121"/>
      <c r="T87" s="121"/>
      <c r="U87" s="120"/>
      <c r="V87" s="120"/>
      <c r="W87" s="117"/>
      <c r="X87" s="117">
        <f t="shared" si="2"/>
        <v>0</v>
      </c>
      <c r="Y87" s="373"/>
    </row>
    <row r="88" spans="1:25" ht="47.25">
      <c r="A88" s="469"/>
      <c r="B88" s="469"/>
      <c r="C88" s="469"/>
      <c r="D88" s="106">
        <v>82</v>
      </c>
      <c r="E88" s="223" t="s">
        <v>133</v>
      </c>
      <c r="F88" s="120"/>
      <c r="G88" s="120"/>
      <c r="H88" s="120"/>
      <c r="I88" s="120"/>
      <c r="J88" s="116">
        <v>0</v>
      </c>
      <c r="K88" s="120"/>
      <c r="L88" s="120"/>
      <c r="M88" s="120"/>
      <c r="N88" s="120"/>
      <c r="O88" s="120"/>
      <c r="P88" s="116">
        <v>0</v>
      </c>
      <c r="Q88" s="120"/>
      <c r="R88" s="120"/>
      <c r="S88" s="121"/>
      <c r="T88" s="121">
        <v>0.1</v>
      </c>
      <c r="U88" s="120"/>
      <c r="V88" s="120"/>
      <c r="W88" s="117"/>
      <c r="X88" s="117">
        <f t="shared" si="2"/>
        <v>0.1</v>
      </c>
      <c r="Y88" s="250" t="s">
        <v>957</v>
      </c>
    </row>
    <row r="89" spans="1:25" ht="31.5">
      <c r="A89" s="469"/>
      <c r="B89" s="469"/>
      <c r="C89" s="469"/>
      <c r="D89" s="106">
        <v>83</v>
      </c>
      <c r="E89" s="106" t="s">
        <v>134</v>
      </c>
      <c r="F89" s="120"/>
      <c r="G89" s="120"/>
      <c r="H89" s="120"/>
      <c r="I89" s="120"/>
      <c r="J89" s="116">
        <v>0</v>
      </c>
      <c r="K89" s="120"/>
      <c r="L89" s="120"/>
      <c r="M89" s="120"/>
      <c r="N89" s="120"/>
      <c r="O89" s="122">
        <v>0.5</v>
      </c>
      <c r="P89" s="116">
        <v>0.5</v>
      </c>
      <c r="Q89" s="121"/>
      <c r="R89" s="121"/>
      <c r="S89" s="121"/>
      <c r="T89" s="121">
        <v>0</v>
      </c>
      <c r="U89" s="120"/>
      <c r="V89" s="120"/>
      <c r="W89" s="117"/>
      <c r="X89" s="117">
        <f t="shared" si="2"/>
        <v>0.5</v>
      </c>
      <c r="Y89" s="97" t="s">
        <v>956</v>
      </c>
    </row>
    <row r="90" spans="1:25" ht="78.75">
      <c r="A90" s="469"/>
      <c r="B90" s="106" t="s">
        <v>135</v>
      </c>
      <c r="C90" s="106" t="s">
        <v>136</v>
      </c>
      <c r="D90" s="106">
        <v>84</v>
      </c>
      <c r="E90" s="106" t="s">
        <v>137</v>
      </c>
      <c r="F90" s="120"/>
      <c r="G90" s="120"/>
      <c r="H90" s="120"/>
      <c r="I90" s="120"/>
      <c r="J90" s="116"/>
      <c r="K90" s="122"/>
      <c r="L90" s="122"/>
      <c r="M90" s="120"/>
      <c r="N90" s="120"/>
      <c r="O90" s="122"/>
      <c r="P90" s="116">
        <v>0</v>
      </c>
      <c r="Q90" s="120"/>
      <c r="R90" s="120">
        <v>0</v>
      </c>
      <c r="S90" s="120"/>
      <c r="T90" s="120">
        <v>0</v>
      </c>
      <c r="U90" s="120"/>
      <c r="V90" s="120">
        <v>0</v>
      </c>
      <c r="W90" s="117"/>
      <c r="X90" s="117">
        <f t="shared" si="2"/>
        <v>0</v>
      </c>
      <c r="Y90" s="97" t="s">
        <v>379</v>
      </c>
    </row>
    <row r="91" spans="1:25" ht="110.25">
      <c r="A91" s="469"/>
      <c r="B91" s="106" t="s">
        <v>138</v>
      </c>
      <c r="C91" s="106" t="s">
        <v>139</v>
      </c>
      <c r="D91" s="106">
        <v>85</v>
      </c>
      <c r="E91" s="106" t="s">
        <v>140</v>
      </c>
      <c r="F91" s="120"/>
      <c r="G91" s="120"/>
      <c r="H91" s="120"/>
      <c r="I91" s="120"/>
      <c r="J91" s="116"/>
      <c r="K91" s="120"/>
      <c r="L91" s="120"/>
      <c r="M91" s="120"/>
      <c r="N91" s="120"/>
      <c r="O91" s="122"/>
      <c r="P91" s="116"/>
      <c r="Q91" s="120"/>
      <c r="R91" s="120">
        <v>0</v>
      </c>
      <c r="S91" s="120"/>
      <c r="T91" s="120">
        <v>0</v>
      </c>
      <c r="U91" s="120"/>
      <c r="V91" s="120">
        <v>0</v>
      </c>
      <c r="W91" s="117"/>
      <c r="X91" s="117">
        <f t="shared" si="2"/>
        <v>0</v>
      </c>
      <c r="Y91" s="97"/>
    </row>
    <row r="92" spans="1:25" ht="94.5" hidden="1">
      <c r="A92" s="469"/>
      <c r="B92" s="106" t="s">
        <v>141</v>
      </c>
      <c r="C92" s="106" t="s">
        <v>44</v>
      </c>
      <c r="D92" s="106">
        <v>86</v>
      </c>
      <c r="E92" s="106" t="s">
        <v>142</v>
      </c>
      <c r="F92" s="116"/>
      <c r="G92" s="116"/>
      <c r="H92" s="116"/>
      <c r="I92" s="116"/>
      <c r="J92" s="116">
        <f>H92+I92</f>
        <v>0</v>
      </c>
      <c r="K92" s="116"/>
      <c r="L92" s="116"/>
      <c r="M92" s="116"/>
      <c r="N92" s="116"/>
      <c r="O92" s="116"/>
      <c r="P92" s="116">
        <f>N92+O92</f>
        <v>0</v>
      </c>
      <c r="Q92" s="116"/>
      <c r="R92" s="116"/>
      <c r="S92" s="116"/>
      <c r="T92" s="116"/>
      <c r="U92" s="116"/>
      <c r="V92" s="116"/>
      <c r="W92" s="117"/>
      <c r="X92" s="117">
        <f t="shared" si="2"/>
        <v>0</v>
      </c>
      <c r="Y92" s="97"/>
    </row>
    <row r="93" spans="1:25" ht="15.75">
      <c r="A93" s="469"/>
      <c r="B93" s="476" t="s">
        <v>143</v>
      </c>
      <c r="C93" s="469"/>
      <c r="D93" s="469"/>
      <c r="E93" s="106"/>
      <c r="F93" s="102">
        <f t="shared" ref="F93:W93" si="8">SUM(F69:F92)</f>
        <v>81.5</v>
      </c>
      <c r="G93" s="102">
        <f t="shared" si="8"/>
        <v>0</v>
      </c>
      <c r="H93" s="102">
        <f t="shared" si="8"/>
        <v>0</v>
      </c>
      <c r="I93" s="102">
        <f t="shared" si="8"/>
        <v>0.65</v>
      </c>
      <c r="J93" s="102">
        <f t="shared" si="8"/>
        <v>0.65</v>
      </c>
      <c r="K93" s="102">
        <f t="shared" si="8"/>
        <v>0</v>
      </c>
      <c r="L93" s="102">
        <f t="shared" si="8"/>
        <v>6.08</v>
      </c>
      <c r="M93" s="102">
        <f t="shared" si="8"/>
        <v>0</v>
      </c>
      <c r="N93" s="102">
        <f t="shared" si="8"/>
        <v>0</v>
      </c>
      <c r="O93" s="102">
        <f t="shared" si="8"/>
        <v>5.21</v>
      </c>
      <c r="P93" s="102">
        <f t="shared" si="8"/>
        <v>5.21</v>
      </c>
      <c r="Q93" s="102">
        <f t="shared" si="8"/>
        <v>0</v>
      </c>
      <c r="R93" s="102">
        <f t="shared" si="8"/>
        <v>12.7</v>
      </c>
      <c r="S93" s="102">
        <f t="shared" si="8"/>
        <v>0</v>
      </c>
      <c r="T93" s="102">
        <f t="shared" si="8"/>
        <v>175.49299999999999</v>
      </c>
      <c r="U93" s="102">
        <f t="shared" si="8"/>
        <v>0</v>
      </c>
      <c r="V93" s="102">
        <f t="shared" si="8"/>
        <v>4.9000000000000004</v>
      </c>
      <c r="W93" s="102">
        <f t="shared" si="8"/>
        <v>0</v>
      </c>
      <c r="X93" s="102">
        <f t="shared" si="2"/>
        <v>286.53299999999996</v>
      </c>
      <c r="Y93" s="251"/>
    </row>
    <row r="94" spans="1:25" ht="110.25">
      <c r="A94" s="477" t="s">
        <v>144</v>
      </c>
      <c r="B94" s="476" t="s">
        <v>145</v>
      </c>
      <c r="C94" s="476" t="s">
        <v>146</v>
      </c>
      <c r="D94" s="106">
        <v>87</v>
      </c>
      <c r="E94" s="106" t="s">
        <v>147</v>
      </c>
      <c r="F94" s="155"/>
      <c r="G94" s="155"/>
      <c r="H94" s="155"/>
      <c r="I94" s="155"/>
      <c r="J94" s="116">
        <f t="shared" ref="J94:J133" si="9">H94+I94</f>
        <v>0</v>
      </c>
      <c r="K94" s="155"/>
      <c r="L94" s="155"/>
      <c r="M94" s="155"/>
      <c r="N94" s="155"/>
      <c r="O94" s="122">
        <v>20</v>
      </c>
      <c r="P94" s="117">
        <f t="shared" ref="P94:P125" si="10">N94+O94</f>
        <v>20</v>
      </c>
      <c r="Q94" s="155"/>
      <c r="R94" s="155"/>
      <c r="S94" s="155"/>
      <c r="T94" s="155"/>
      <c r="U94" s="155"/>
      <c r="V94" s="155"/>
      <c r="W94" s="117"/>
      <c r="X94" s="117">
        <f t="shared" si="2"/>
        <v>20</v>
      </c>
      <c r="Y94" s="225" t="s">
        <v>617</v>
      </c>
    </row>
    <row r="95" spans="1:25" ht="47.25">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v>6</v>
      </c>
      <c r="U95" s="155"/>
      <c r="V95" s="155"/>
      <c r="W95" s="117"/>
      <c r="X95" s="117">
        <f t="shared" si="2"/>
        <v>6</v>
      </c>
      <c r="Y95" s="225" t="s">
        <v>1157</v>
      </c>
    </row>
    <row r="96" spans="1:25" ht="47.2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225"/>
    </row>
    <row r="97" spans="1:25" ht="47.25">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225"/>
    </row>
    <row r="98" spans="1:25" ht="31.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226"/>
    </row>
    <row r="99" spans="1:25" ht="78.7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v>1</v>
      </c>
      <c r="U99" s="155"/>
      <c r="V99" s="155"/>
      <c r="W99" s="117"/>
      <c r="X99" s="117">
        <f t="shared" si="2"/>
        <v>1</v>
      </c>
      <c r="Y99" s="231" t="s">
        <v>618</v>
      </c>
    </row>
    <row r="100" spans="1:25" ht="78.75">
      <c r="A100" s="469"/>
      <c r="B100" s="469"/>
      <c r="C100" s="469"/>
      <c r="D100" s="106">
        <v>93</v>
      </c>
      <c r="E100" s="106" t="s">
        <v>153</v>
      </c>
      <c r="F100" s="155"/>
      <c r="G100" s="155"/>
      <c r="H100" s="155"/>
      <c r="I100" s="155"/>
      <c r="J100" s="116">
        <f t="shared" si="9"/>
        <v>0</v>
      </c>
      <c r="K100" s="158"/>
      <c r="L100" s="158">
        <v>6.1</v>
      </c>
      <c r="M100" s="155"/>
      <c r="N100" s="155"/>
      <c r="O100" s="155"/>
      <c r="P100" s="116">
        <f t="shared" si="10"/>
        <v>0</v>
      </c>
      <c r="Q100" s="155"/>
      <c r="R100" s="155"/>
      <c r="S100" s="155"/>
      <c r="T100" s="155"/>
      <c r="U100" s="155"/>
      <c r="V100" s="155"/>
      <c r="W100" s="117"/>
      <c r="X100" s="117">
        <f t="shared" si="2"/>
        <v>6.1</v>
      </c>
      <c r="Y100" s="227" t="s">
        <v>604</v>
      </c>
    </row>
    <row r="101" spans="1:25" ht="78.75">
      <c r="A101" s="469"/>
      <c r="B101" s="469"/>
      <c r="C101" s="469"/>
      <c r="D101" s="106">
        <v>94</v>
      </c>
      <c r="E101" s="106" t="s">
        <v>154</v>
      </c>
      <c r="F101" s="155"/>
      <c r="G101" s="155"/>
      <c r="H101" s="155"/>
      <c r="I101" s="155"/>
      <c r="J101" s="116">
        <f t="shared" si="9"/>
        <v>0</v>
      </c>
      <c r="K101" s="158"/>
      <c r="L101" s="158">
        <v>6.1</v>
      </c>
      <c r="M101" s="155"/>
      <c r="N101" s="155"/>
      <c r="O101" s="155"/>
      <c r="P101" s="116">
        <f t="shared" si="10"/>
        <v>0</v>
      </c>
      <c r="Q101" s="155"/>
      <c r="R101" s="155"/>
      <c r="S101" s="155"/>
      <c r="T101" s="155"/>
      <c r="U101" s="155"/>
      <c r="V101" s="155"/>
      <c r="W101" s="117"/>
      <c r="X101" s="117">
        <f t="shared" si="2"/>
        <v>6.1</v>
      </c>
      <c r="Y101" s="231" t="s">
        <v>605</v>
      </c>
    </row>
    <row r="102" spans="1:25" ht="63">
      <c r="A102" s="469"/>
      <c r="B102" s="469"/>
      <c r="C102" s="469"/>
      <c r="D102" s="106">
        <v>95</v>
      </c>
      <c r="E102" s="106" t="s">
        <v>155</v>
      </c>
      <c r="F102" s="155"/>
      <c r="G102" s="155"/>
      <c r="H102" s="155"/>
      <c r="I102" s="158"/>
      <c r="J102" s="125">
        <f t="shared" si="9"/>
        <v>0</v>
      </c>
      <c r="K102" s="122"/>
      <c r="L102" s="127"/>
      <c r="M102" s="155"/>
      <c r="N102" s="155"/>
      <c r="O102" s="155"/>
      <c r="P102" s="116">
        <f t="shared" si="10"/>
        <v>0</v>
      </c>
      <c r="Q102" s="155"/>
      <c r="R102" s="155"/>
      <c r="S102" s="155"/>
      <c r="T102" s="155"/>
      <c r="U102" s="155"/>
      <c r="V102" s="155"/>
      <c r="W102" s="117"/>
      <c r="X102" s="117">
        <f t="shared" si="2"/>
        <v>0</v>
      </c>
      <c r="Y102" s="373"/>
    </row>
    <row r="103" spans="1:25" ht="63">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1</v>
      </c>
      <c r="U103" s="155"/>
      <c r="V103" s="155"/>
      <c r="W103" s="117"/>
      <c r="X103" s="117">
        <f t="shared" si="2"/>
        <v>1</v>
      </c>
      <c r="Y103" s="97" t="s">
        <v>157</v>
      </c>
    </row>
    <row r="104" spans="1:25" ht="126">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345">
        <v>11.6</v>
      </c>
      <c r="U104" s="140"/>
      <c r="V104" s="140"/>
      <c r="W104" s="117"/>
      <c r="X104" s="117">
        <f t="shared" si="2"/>
        <v>11.6</v>
      </c>
      <c r="Y104" s="135" t="s">
        <v>647</v>
      </c>
    </row>
    <row r="105" spans="1:25" ht="78.75">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15.7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110.25">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4.3499999999999996</v>
      </c>
      <c r="U109" s="140"/>
      <c r="V109" s="140"/>
      <c r="W109" s="117"/>
      <c r="X109" s="117">
        <f t="shared" si="2"/>
        <v>4.3499999999999996</v>
      </c>
      <c r="Y109" s="97" t="s">
        <v>1228</v>
      </c>
    </row>
    <row r="110" spans="1:25" ht="31.5">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31.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c r="U111" s="161"/>
      <c r="V111" s="161"/>
      <c r="W111" s="117"/>
      <c r="X111" s="117">
        <f t="shared" si="2"/>
        <v>0</v>
      </c>
      <c r="Y111" s="135"/>
    </row>
    <row r="112" spans="1:25" ht="189">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15.7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c r="U113" s="118"/>
      <c r="V113" s="118"/>
      <c r="W113" s="117"/>
      <c r="X113" s="117">
        <f t="shared" si="2"/>
        <v>0</v>
      </c>
      <c r="Y113" s="135"/>
    </row>
    <row r="114" spans="1:25" ht="159"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59.25"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31.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15.7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252"/>
    </row>
    <row r="121" spans="1:25" ht="157.5">
      <c r="A121" s="469"/>
      <c r="B121" s="106" t="s">
        <v>183</v>
      </c>
      <c r="C121" s="106" t="s">
        <v>184</v>
      </c>
      <c r="D121" s="106">
        <v>114</v>
      </c>
      <c r="E121" s="106" t="s">
        <v>185</v>
      </c>
      <c r="F121" s="140"/>
      <c r="G121" s="140"/>
      <c r="H121" s="140"/>
      <c r="I121" s="161">
        <v>10</v>
      </c>
      <c r="J121" s="125">
        <f t="shared" si="9"/>
        <v>10</v>
      </c>
      <c r="K121" s="140"/>
      <c r="L121" s="140">
        <v>0.6</v>
      </c>
      <c r="M121" s="140"/>
      <c r="N121" s="140"/>
      <c r="O121" s="140"/>
      <c r="P121" s="116">
        <f t="shared" si="10"/>
        <v>0</v>
      </c>
      <c r="Q121" s="140"/>
      <c r="R121" s="140"/>
      <c r="S121" s="140"/>
      <c r="T121" s="140">
        <v>4</v>
      </c>
      <c r="U121" s="161"/>
      <c r="V121" s="161"/>
      <c r="W121" s="117"/>
      <c r="X121" s="117">
        <f t="shared" si="2"/>
        <v>14.6</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40"/>
      <c r="T122" s="140">
        <v>1.5</v>
      </c>
      <c r="U122" s="140"/>
      <c r="V122" s="140"/>
      <c r="W122" s="117"/>
      <c r="X122" s="117">
        <f t="shared" si="2"/>
        <v>1.5</v>
      </c>
      <c r="Y122" s="135" t="s">
        <v>636</v>
      </c>
    </row>
    <row r="123" spans="1:25" ht="47.25">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6.4</v>
      </c>
      <c r="S123" s="140"/>
      <c r="T123" s="140"/>
      <c r="U123" s="140"/>
      <c r="V123" s="140"/>
      <c r="W123" s="117"/>
      <c r="X123" s="117">
        <f t="shared" si="2"/>
        <v>6.4</v>
      </c>
      <c r="Y123" s="135" t="s">
        <v>653</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40"/>
      <c r="S124" s="140"/>
      <c r="T124" s="140"/>
      <c r="U124" s="140"/>
      <c r="V124" s="140"/>
      <c r="W124" s="162"/>
      <c r="X124" s="117">
        <f t="shared" si="2"/>
        <v>0</v>
      </c>
      <c r="Y124" s="97"/>
    </row>
    <row r="125" spans="1:25" ht="31.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7"/>
    </row>
    <row r="126" spans="1:25" ht="85.5" customHeight="1">
      <c r="A126" s="469"/>
      <c r="B126" s="106" t="s">
        <v>191</v>
      </c>
      <c r="C126" s="106" t="s">
        <v>192</v>
      </c>
      <c r="D126" s="106">
        <v>119</v>
      </c>
      <c r="E126" s="106" t="s">
        <v>193</v>
      </c>
      <c r="F126" s="140"/>
      <c r="G126" s="140"/>
      <c r="H126" s="140"/>
      <c r="I126" s="161"/>
      <c r="J126" s="125">
        <f t="shared" si="9"/>
        <v>0</v>
      </c>
      <c r="K126" s="162"/>
      <c r="L126" s="162"/>
      <c r="M126" s="140"/>
      <c r="N126" s="140"/>
      <c r="O126" s="140"/>
      <c r="P126" s="116">
        <v>0</v>
      </c>
      <c r="Q126" s="140"/>
      <c r="R126" s="140"/>
      <c r="S126" s="161"/>
      <c r="T126" s="161">
        <v>5</v>
      </c>
      <c r="U126" s="140"/>
      <c r="V126" s="140"/>
      <c r="W126" s="117"/>
      <c r="X126" s="117">
        <f t="shared" si="2"/>
        <v>5</v>
      </c>
      <c r="Y126" s="135" t="s">
        <v>638</v>
      </c>
    </row>
    <row r="127" spans="1:25" ht="126">
      <c r="A127" s="469"/>
      <c r="B127" s="106" t="s">
        <v>194</v>
      </c>
      <c r="C127" s="106" t="s">
        <v>195</v>
      </c>
      <c r="D127" s="106">
        <v>120</v>
      </c>
      <c r="E127" s="106" t="s">
        <v>196</v>
      </c>
      <c r="F127" s="140"/>
      <c r="G127" s="140"/>
      <c r="H127" s="140"/>
      <c r="I127" s="140"/>
      <c r="J127" s="116">
        <f t="shared" si="9"/>
        <v>0</v>
      </c>
      <c r="K127" s="140"/>
      <c r="L127" s="140"/>
      <c r="M127" s="140"/>
      <c r="N127" s="140"/>
      <c r="O127" s="161"/>
      <c r="P127" s="125">
        <f t="shared" ref="P127:P133" si="11">N127+O127</f>
        <v>0</v>
      </c>
      <c r="Q127" s="161"/>
      <c r="R127" s="161"/>
      <c r="S127" s="161"/>
      <c r="T127" s="161"/>
      <c r="U127" s="140"/>
      <c r="V127" s="140"/>
      <c r="W127" s="117"/>
      <c r="X127" s="117">
        <f t="shared" si="2"/>
        <v>0</v>
      </c>
      <c r="Y127" s="97"/>
    </row>
    <row r="128" spans="1:25" ht="15.75">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si="11"/>
        <v>0</v>
      </c>
      <c r="Q128" s="140"/>
      <c r="R128" s="140"/>
      <c r="S128" s="140"/>
      <c r="T128" s="140"/>
      <c r="U128" s="140"/>
      <c r="V128" s="140"/>
      <c r="W128" s="117"/>
      <c r="X128" s="117">
        <f t="shared" si="2"/>
        <v>0</v>
      </c>
      <c r="Y128" s="135"/>
    </row>
    <row r="129" spans="1:25" ht="31.5">
      <c r="A129" s="469"/>
      <c r="B129" s="469"/>
      <c r="C129" s="469"/>
      <c r="D129" s="106">
        <v>122</v>
      </c>
      <c r="E129" s="106" t="s">
        <v>200</v>
      </c>
      <c r="F129" s="140"/>
      <c r="G129" s="140"/>
      <c r="H129" s="140"/>
      <c r="I129" s="140"/>
      <c r="J129" s="116">
        <f t="shared" si="9"/>
        <v>0</v>
      </c>
      <c r="K129" s="140"/>
      <c r="L129" s="140"/>
      <c r="M129" s="140"/>
      <c r="N129" s="140"/>
      <c r="O129" s="140"/>
      <c r="P129" s="116">
        <f t="shared" si="11"/>
        <v>0</v>
      </c>
      <c r="Q129" s="140"/>
      <c r="R129" s="140"/>
      <c r="S129" s="140"/>
      <c r="T129" s="140"/>
      <c r="U129" s="140"/>
      <c r="V129" s="140"/>
      <c r="W129" s="117"/>
      <c r="X129" s="117">
        <f t="shared" si="2"/>
        <v>0</v>
      </c>
      <c r="Y129" s="135"/>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1"/>
        <v>0</v>
      </c>
      <c r="Q130" s="140"/>
      <c r="R130" s="140"/>
      <c r="S130" s="161"/>
      <c r="T130" s="161"/>
      <c r="U130" s="140"/>
      <c r="V130" s="140"/>
      <c r="W130" s="117"/>
      <c r="X130" s="117">
        <f t="shared" si="2"/>
        <v>0</v>
      </c>
      <c r="Y130" s="98"/>
    </row>
    <row r="131" spans="1:25" ht="15.7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1"/>
        <v>0</v>
      </c>
      <c r="Q131" s="140"/>
      <c r="R131" s="140"/>
      <c r="S131" s="140"/>
      <c r="T131" s="140"/>
      <c r="U131" s="140"/>
      <c r="V131" s="140"/>
      <c r="W131" s="117"/>
      <c r="X131" s="117">
        <f t="shared" si="2"/>
        <v>0</v>
      </c>
      <c r="Y131" s="252"/>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1"/>
        <v>0</v>
      </c>
      <c r="Q132" s="140"/>
      <c r="R132" s="140"/>
      <c r="S132" s="140"/>
      <c r="T132" s="140"/>
      <c r="U132" s="140"/>
      <c r="V132" s="140"/>
      <c r="W132" s="117"/>
      <c r="X132" s="117">
        <f t="shared" si="2"/>
        <v>0</v>
      </c>
      <c r="Y132" s="252"/>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1"/>
        <v>0</v>
      </c>
      <c r="Q133" s="120"/>
      <c r="R133" s="120"/>
      <c r="S133" s="120"/>
      <c r="T133" s="120"/>
      <c r="U133" s="120"/>
      <c r="V133" s="120"/>
      <c r="W133" s="117"/>
      <c r="X133" s="117">
        <f t="shared" si="2"/>
        <v>0</v>
      </c>
      <c r="Y133" s="97"/>
    </row>
    <row r="134" spans="1:25" ht="26.25" customHeight="1">
      <c r="A134" s="469"/>
      <c r="B134" s="476" t="s">
        <v>208</v>
      </c>
      <c r="C134" s="469"/>
      <c r="D134" s="469"/>
      <c r="E134" s="106"/>
      <c r="F134" s="100">
        <f t="shared" ref="F134:W134" si="12">SUM(F94:F133)</f>
        <v>0</v>
      </c>
      <c r="G134" s="100">
        <f t="shared" si="12"/>
        <v>0</v>
      </c>
      <c r="H134" s="100">
        <f t="shared" si="12"/>
        <v>0</v>
      </c>
      <c r="I134" s="100">
        <f t="shared" si="12"/>
        <v>10</v>
      </c>
      <c r="J134" s="100">
        <f t="shared" si="12"/>
        <v>10</v>
      </c>
      <c r="K134" s="100">
        <f t="shared" si="12"/>
        <v>0</v>
      </c>
      <c r="L134" s="100">
        <f t="shared" si="12"/>
        <v>13.799999999999999</v>
      </c>
      <c r="M134" s="100">
        <f t="shared" si="12"/>
        <v>0</v>
      </c>
      <c r="N134" s="100">
        <f t="shared" si="12"/>
        <v>0</v>
      </c>
      <c r="O134" s="102">
        <f t="shared" si="12"/>
        <v>20</v>
      </c>
      <c r="P134" s="102">
        <f t="shared" si="12"/>
        <v>20</v>
      </c>
      <c r="Q134" s="100">
        <f t="shared" si="12"/>
        <v>0</v>
      </c>
      <c r="R134" s="100">
        <f t="shared" si="12"/>
        <v>6.4</v>
      </c>
      <c r="S134" s="100">
        <f t="shared" si="12"/>
        <v>0</v>
      </c>
      <c r="T134" s="100">
        <f t="shared" si="12"/>
        <v>36.81</v>
      </c>
      <c r="U134" s="100">
        <f t="shared" si="12"/>
        <v>0</v>
      </c>
      <c r="V134" s="100">
        <f t="shared" si="12"/>
        <v>0</v>
      </c>
      <c r="W134" s="102">
        <f t="shared" si="12"/>
        <v>0</v>
      </c>
      <c r="X134" s="100">
        <f t="shared" si="2"/>
        <v>87.009999999999991</v>
      </c>
      <c r="Y134" s="253"/>
    </row>
    <row r="135" spans="1:25" ht="63">
      <c r="A135" s="477" t="s">
        <v>209</v>
      </c>
      <c r="B135" s="476" t="s">
        <v>210</v>
      </c>
      <c r="C135" s="476" t="s">
        <v>211</v>
      </c>
      <c r="D135" s="106">
        <v>127</v>
      </c>
      <c r="E135" s="106" t="s">
        <v>212</v>
      </c>
      <c r="F135" s="120"/>
      <c r="G135" s="120"/>
      <c r="H135" s="120"/>
      <c r="I135" s="120"/>
      <c r="J135" s="116">
        <f t="shared" ref="J135:J157" si="13">H135+I135</f>
        <v>0</v>
      </c>
      <c r="K135" s="120"/>
      <c r="L135" s="120"/>
      <c r="M135" s="120"/>
      <c r="N135" s="120"/>
      <c r="O135" s="120"/>
      <c r="P135" s="116">
        <f t="shared" ref="P135:P157" si="14">N135+O135</f>
        <v>0</v>
      </c>
      <c r="Q135" s="120"/>
      <c r="R135" s="120"/>
      <c r="S135" s="120"/>
      <c r="T135" s="120"/>
      <c r="U135" s="120"/>
      <c r="V135" s="120"/>
      <c r="W135" s="117"/>
      <c r="X135" s="117">
        <f t="shared" si="2"/>
        <v>0</v>
      </c>
      <c r="Y135" s="97"/>
    </row>
    <row r="136" spans="1:25" ht="39" customHeight="1">
      <c r="A136" s="469"/>
      <c r="B136" s="469"/>
      <c r="C136" s="469"/>
      <c r="D136" s="106">
        <v>128</v>
      </c>
      <c r="E136" s="106" t="s">
        <v>213</v>
      </c>
      <c r="F136" s="120"/>
      <c r="G136" s="120"/>
      <c r="H136" s="120"/>
      <c r="I136" s="120"/>
      <c r="J136" s="116">
        <f t="shared" si="13"/>
        <v>0</v>
      </c>
      <c r="K136" s="120"/>
      <c r="L136" s="120"/>
      <c r="M136" s="120"/>
      <c r="N136" s="120"/>
      <c r="O136" s="122"/>
      <c r="P136" s="117">
        <f t="shared" si="14"/>
        <v>0</v>
      </c>
      <c r="Q136" s="120"/>
      <c r="R136" s="120"/>
      <c r="S136" s="163"/>
      <c r="T136" s="163"/>
      <c r="U136" s="120"/>
      <c r="V136" s="120"/>
      <c r="W136" s="117"/>
      <c r="X136" s="117">
        <f t="shared" si="2"/>
        <v>0</v>
      </c>
      <c r="Y136" s="135"/>
    </row>
    <row r="137" spans="1:25" ht="31.5">
      <c r="A137" s="469"/>
      <c r="B137" s="106"/>
      <c r="C137" s="106"/>
      <c r="D137" s="106">
        <v>129</v>
      </c>
      <c r="E137" s="106" t="s">
        <v>214</v>
      </c>
      <c r="F137" s="120"/>
      <c r="G137" s="120"/>
      <c r="H137" s="120"/>
      <c r="I137" s="120"/>
      <c r="J137" s="116">
        <f t="shared" si="13"/>
        <v>0</v>
      </c>
      <c r="K137" s="120"/>
      <c r="L137" s="120"/>
      <c r="M137" s="120"/>
      <c r="N137" s="120"/>
      <c r="O137" s="120"/>
      <c r="P137" s="116">
        <f t="shared" si="14"/>
        <v>0</v>
      </c>
      <c r="Q137" s="120"/>
      <c r="R137" s="120"/>
      <c r="S137" s="120"/>
      <c r="T137" s="120"/>
      <c r="U137" s="120"/>
      <c r="V137" s="120"/>
      <c r="W137" s="117"/>
      <c r="X137" s="117">
        <f t="shared" si="2"/>
        <v>0</v>
      </c>
      <c r="Y137" s="97"/>
    </row>
    <row r="138" spans="1:25" ht="47.25">
      <c r="A138" s="469"/>
      <c r="B138" s="476" t="s">
        <v>215</v>
      </c>
      <c r="C138" s="476" t="s">
        <v>216</v>
      </c>
      <c r="D138" s="106">
        <v>130</v>
      </c>
      <c r="E138" s="106" t="s">
        <v>217</v>
      </c>
      <c r="F138" s="120"/>
      <c r="G138" s="120"/>
      <c r="H138" s="120"/>
      <c r="I138" s="120"/>
      <c r="J138" s="116">
        <f t="shared" si="13"/>
        <v>0</v>
      </c>
      <c r="K138" s="120"/>
      <c r="L138" s="120"/>
      <c r="M138" s="120"/>
      <c r="N138" s="120"/>
      <c r="O138" s="120"/>
      <c r="P138" s="116">
        <f t="shared" si="14"/>
        <v>0</v>
      </c>
      <c r="Q138" s="120"/>
      <c r="R138" s="120"/>
      <c r="S138" s="120"/>
      <c r="T138" s="120"/>
      <c r="U138" s="120"/>
      <c r="V138" s="120"/>
      <c r="W138" s="117"/>
      <c r="X138" s="117">
        <f t="shared" si="2"/>
        <v>0</v>
      </c>
      <c r="Y138" s="97"/>
    </row>
    <row r="139" spans="1:25" ht="15.75">
      <c r="A139" s="469"/>
      <c r="B139" s="469"/>
      <c r="C139" s="469"/>
      <c r="D139" s="106">
        <v>131</v>
      </c>
      <c r="E139" s="106" t="s">
        <v>218</v>
      </c>
      <c r="F139" s="120"/>
      <c r="G139" s="120"/>
      <c r="H139" s="120"/>
      <c r="I139" s="120"/>
      <c r="J139" s="116">
        <f t="shared" si="13"/>
        <v>0</v>
      </c>
      <c r="K139" s="120"/>
      <c r="L139" s="120"/>
      <c r="M139" s="120"/>
      <c r="N139" s="120"/>
      <c r="O139" s="120"/>
      <c r="P139" s="116">
        <f t="shared" si="14"/>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3"/>
        <v>0</v>
      </c>
      <c r="K140" s="120"/>
      <c r="L140" s="120"/>
      <c r="M140" s="120"/>
      <c r="N140" s="120"/>
      <c r="O140" s="120"/>
      <c r="P140" s="116">
        <f t="shared" si="14"/>
        <v>0</v>
      </c>
      <c r="Q140" s="120"/>
      <c r="R140" s="120"/>
      <c r="S140" s="120"/>
      <c r="T140" s="120"/>
      <c r="U140" s="120"/>
      <c r="V140" s="120"/>
      <c r="W140" s="117"/>
      <c r="X140" s="117">
        <f t="shared" si="2"/>
        <v>0</v>
      </c>
      <c r="Y140" s="97"/>
    </row>
    <row r="141" spans="1:25" ht="15.75">
      <c r="A141" s="469"/>
      <c r="B141" s="469"/>
      <c r="C141" s="469"/>
      <c r="D141" s="106">
        <v>133</v>
      </c>
      <c r="E141" s="106" t="s">
        <v>220</v>
      </c>
      <c r="F141" s="120"/>
      <c r="G141" s="120"/>
      <c r="H141" s="120"/>
      <c r="I141" s="120"/>
      <c r="J141" s="116">
        <f t="shared" si="13"/>
        <v>0</v>
      </c>
      <c r="K141" s="120"/>
      <c r="L141" s="120"/>
      <c r="M141" s="120"/>
      <c r="N141" s="120"/>
      <c r="O141" s="120"/>
      <c r="P141" s="116">
        <f t="shared" si="14"/>
        <v>0</v>
      </c>
      <c r="Q141" s="120"/>
      <c r="R141" s="120"/>
      <c r="S141" s="120"/>
      <c r="T141" s="120"/>
      <c r="U141" s="120"/>
      <c r="V141" s="120"/>
      <c r="W141" s="117"/>
      <c r="X141" s="117">
        <f t="shared" si="2"/>
        <v>0</v>
      </c>
      <c r="Y141" s="97"/>
    </row>
    <row r="142" spans="1:25" ht="126">
      <c r="A142" s="469"/>
      <c r="B142" s="469"/>
      <c r="C142" s="469"/>
      <c r="D142" s="106">
        <v>134</v>
      </c>
      <c r="E142" s="106" t="s">
        <v>221</v>
      </c>
      <c r="F142" s="120"/>
      <c r="G142" s="120"/>
      <c r="H142" s="120"/>
      <c r="I142" s="120"/>
      <c r="J142" s="116">
        <f t="shared" si="13"/>
        <v>0</v>
      </c>
      <c r="K142" s="120"/>
      <c r="L142" s="120"/>
      <c r="M142" s="120"/>
      <c r="N142" s="120"/>
      <c r="O142" s="120"/>
      <c r="P142" s="116">
        <f t="shared" si="14"/>
        <v>0</v>
      </c>
      <c r="Q142" s="120"/>
      <c r="R142" s="120"/>
      <c r="S142" s="122"/>
      <c r="T142" s="122">
        <f>(7*0.025*12)</f>
        <v>2.1</v>
      </c>
      <c r="U142" s="120"/>
      <c r="V142" s="120"/>
      <c r="W142" s="117"/>
      <c r="X142" s="117">
        <f t="shared" si="2"/>
        <v>2.1</v>
      </c>
      <c r="Y142" s="254" t="s">
        <v>668</v>
      </c>
    </row>
    <row r="143" spans="1:25" ht="31.5">
      <c r="A143" s="469"/>
      <c r="B143" s="469"/>
      <c r="C143" s="469"/>
      <c r="D143" s="106">
        <v>135</v>
      </c>
      <c r="E143" s="106" t="s">
        <v>223</v>
      </c>
      <c r="F143" s="120"/>
      <c r="G143" s="120"/>
      <c r="H143" s="120"/>
      <c r="I143" s="120"/>
      <c r="J143" s="116">
        <f t="shared" si="13"/>
        <v>0</v>
      </c>
      <c r="K143" s="120"/>
      <c r="L143" s="120"/>
      <c r="M143" s="120"/>
      <c r="N143" s="120"/>
      <c r="O143" s="120"/>
      <c r="P143" s="116">
        <f t="shared" si="14"/>
        <v>0</v>
      </c>
      <c r="Q143" s="120"/>
      <c r="R143" s="120"/>
      <c r="S143" s="120"/>
      <c r="T143" s="120"/>
      <c r="U143" s="120"/>
      <c r="V143" s="120"/>
      <c r="W143" s="117"/>
      <c r="X143" s="117">
        <f t="shared" si="2"/>
        <v>0</v>
      </c>
      <c r="Y143" s="97"/>
    </row>
    <row r="144" spans="1:25" ht="47.25">
      <c r="A144" s="469"/>
      <c r="B144" s="469"/>
      <c r="C144" s="469"/>
      <c r="D144" s="106">
        <v>136</v>
      </c>
      <c r="E144" s="106" t="s">
        <v>224</v>
      </c>
      <c r="F144" s="120"/>
      <c r="G144" s="120"/>
      <c r="H144" s="120"/>
      <c r="I144" s="120"/>
      <c r="J144" s="116">
        <f t="shared" si="13"/>
        <v>0</v>
      </c>
      <c r="K144" s="120"/>
      <c r="L144" s="120"/>
      <c r="M144" s="120"/>
      <c r="N144" s="120"/>
      <c r="O144" s="120"/>
      <c r="P144" s="116">
        <f t="shared" si="14"/>
        <v>0</v>
      </c>
      <c r="Q144" s="120"/>
      <c r="R144" s="120"/>
      <c r="S144" s="122"/>
      <c r="T144" s="122"/>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3"/>
        <v>0</v>
      </c>
      <c r="K145" s="120"/>
      <c r="L145" s="120"/>
      <c r="M145" s="120"/>
      <c r="N145" s="120"/>
      <c r="O145" s="120"/>
      <c r="P145" s="116">
        <f t="shared" si="14"/>
        <v>0</v>
      </c>
      <c r="Q145" s="122"/>
      <c r="R145" s="122"/>
      <c r="S145" s="122"/>
      <c r="T145" s="122"/>
      <c r="U145" s="120"/>
      <c r="V145" s="120"/>
      <c r="W145" s="117"/>
      <c r="X145" s="117">
        <f t="shared" si="2"/>
        <v>0</v>
      </c>
      <c r="Y145" s="135"/>
    </row>
    <row r="146" spans="1:25" ht="31.5">
      <c r="A146" s="469"/>
      <c r="B146" s="469"/>
      <c r="C146" s="469"/>
      <c r="D146" s="106">
        <v>138</v>
      </c>
      <c r="E146" s="106" t="s">
        <v>228</v>
      </c>
      <c r="F146" s="120"/>
      <c r="G146" s="120"/>
      <c r="H146" s="120"/>
      <c r="I146" s="122"/>
      <c r="J146" s="117">
        <f t="shared" si="13"/>
        <v>0</v>
      </c>
      <c r="K146" s="122"/>
      <c r="L146" s="122"/>
      <c r="M146" s="120"/>
      <c r="N146" s="120"/>
      <c r="O146" s="122"/>
      <c r="P146" s="117">
        <f t="shared" si="14"/>
        <v>0</v>
      </c>
      <c r="Q146" s="122"/>
      <c r="R146" s="122"/>
      <c r="S146" s="120"/>
      <c r="T146" s="120"/>
      <c r="U146" s="120"/>
      <c r="V146" s="120"/>
      <c r="W146" s="117"/>
      <c r="X146" s="117">
        <f t="shared" si="2"/>
        <v>0</v>
      </c>
      <c r="Y146" s="135"/>
    </row>
    <row r="147" spans="1:25" ht="47.25">
      <c r="A147" s="469"/>
      <c r="B147" s="476" t="s">
        <v>229</v>
      </c>
      <c r="C147" s="476" t="s">
        <v>230</v>
      </c>
      <c r="D147" s="106">
        <v>139</v>
      </c>
      <c r="E147" s="106" t="s">
        <v>231</v>
      </c>
      <c r="F147" s="120"/>
      <c r="G147" s="120"/>
      <c r="H147" s="120"/>
      <c r="I147" s="120"/>
      <c r="J147" s="116">
        <f t="shared" si="13"/>
        <v>0</v>
      </c>
      <c r="K147" s="120"/>
      <c r="L147" s="120"/>
      <c r="M147" s="120"/>
      <c r="N147" s="120"/>
      <c r="O147" s="120"/>
      <c r="P147" s="116">
        <f t="shared" si="14"/>
        <v>0</v>
      </c>
      <c r="Q147" s="120"/>
      <c r="R147" s="120"/>
      <c r="S147" s="122"/>
      <c r="T147" s="122">
        <f>0*0.5</f>
        <v>0</v>
      </c>
      <c r="U147" s="120"/>
      <c r="V147" s="120"/>
      <c r="W147" s="117"/>
      <c r="X147" s="117">
        <f t="shared" si="2"/>
        <v>0</v>
      </c>
      <c r="Y147" s="135"/>
    </row>
    <row r="148" spans="1:25" ht="94.5">
      <c r="A148" s="469"/>
      <c r="B148" s="469"/>
      <c r="C148" s="469"/>
      <c r="D148" s="106">
        <v>140</v>
      </c>
      <c r="E148" s="106" t="s">
        <v>232</v>
      </c>
      <c r="F148" s="120"/>
      <c r="G148" s="120"/>
      <c r="H148" s="120"/>
      <c r="I148" s="120"/>
      <c r="J148" s="116">
        <f t="shared" si="13"/>
        <v>0</v>
      </c>
      <c r="K148" s="120"/>
      <c r="L148" s="120"/>
      <c r="M148" s="120"/>
      <c r="N148" s="120"/>
      <c r="O148" s="120"/>
      <c r="P148" s="116">
        <f t="shared" si="14"/>
        <v>0</v>
      </c>
      <c r="Q148" s="120"/>
      <c r="R148" s="120"/>
      <c r="S148" s="122"/>
      <c r="T148" s="122">
        <v>0.95</v>
      </c>
      <c r="U148" s="120"/>
      <c r="V148" s="120"/>
      <c r="W148" s="117"/>
      <c r="X148" s="117">
        <f t="shared" si="2"/>
        <v>0.95</v>
      </c>
      <c r="Y148" s="234" t="s">
        <v>670</v>
      </c>
    </row>
    <row r="149" spans="1:25" ht="31.5" hidden="1">
      <c r="A149" s="469"/>
      <c r="B149" s="469"/>
      <c r="C149" s="469"/>
      <c r="D149" s="106">
        <v>141</v>
      </c>
      <c r="E149" s="106" t="s">
        <v>233</v>
      </c>
      <c r="F149" s="120"/>
      <c r="G149" s="120"/>
      <c r="H149" s="120"/>
      <c r="I149" s="120"/>
      <c r="J149" s="116">
        <f t="shared" si="13"/>
        <v>0</v>
      </c>
      <c r="K149" s="120"/>
      <c r="L149" s="120"/>
      <c r="M149" s="120"/>
      <c r="N149" s="120"/>
      <c r="O149" s="120"/>
      <c r="P149" s="116">
        <f t="shared" si="14"/>
        <v>0</v>
      </c>
      <c r="Q149" s="120"/>
      <c r="R149" s="120"/>
      <c r="S149" s="120"/>
      <c r="T149" s="120"/>
      <c r="U149" s="120"/>
      <c r="V149" s="120"/>
      <c r="W149" s="117"/>
      <c r="X149" s="117">
        <f t="shared" si="2"/>
        <v>0</v>
      </c>
      <c r="Y149" s="97"/>
    </row>
    <row r="150" spans="1:25" ht="63">
      <c r="A150" s="469"/>
      <c r="B150" s="476" t="s">
        <v>234</v>
      </c>
      <c r="C150" s="476" t="s">
        <v>235</v>
      </c>
      <c r="D150" s="106">
        <v>142</v>
      </c>
      <c r="E150" s="106" t="s">
        <v>236</v>
      </c>
      <c r="F150" s="120"/>
      <c r="G150" s="120"/>
      <c r="H150" s="120"/>
      <c r="I150" s="120"/>
      <c r="J150" s="116">
        <f t="shared" si="13"/>
        <v>0</v>
      </c>
      <c r="K150" s="120"/>
      <c r="L150" s="120"/>
      <c r="M150" s="120"/>
      <c r="N150" s="120"/>
      <c r="O150" s="120"/>
      <c r="P150" s="116">
        <f t="shared" si="14"/>
        <v>0</v>
      </c>
      <c r="Q150" s="120"/>
      <c r="R150" s="120"/>
      <c r="S150" s="150"/>
      <c r="T150" s="140">
        <v>1094.48</v>
      </c>
      <c r="U150" s="120"/>
      <c r="V150" s="120"/>
      <c r="W150" s="117"/>
      <c r="X150" s="117">
        <f t="shared" si="2"/>
        <v>1094.48</v>
      </c>
      <c r="Y150" s="97" t="s">
        <v>671</v>
      </c>
    </row>
    <row r="151" spans="1:25" ht="47.25">
      <c r="A151" s="469"/>
      <c r="B151" s="469"/>
      <c r="C151" s="469"/>
      <c r="D151" s="106">
        <v>143</v>
      </c>
      <c r="E151" s="106" t="s">
        <v>237</v>
      </c>
      <c r="F151" s="120"/>
      <c r="G151" s="120"/>
      <c r="H151" s="120"/>
      <c r="I151" s="120"/>
      <c r="J151" s="116">
        <f t="shared" si="13"/>
        <v>0</v>
      </c>
      <c r="K151" s="120"/>
      <c r="L151" s="120"/>
      <c r="M151" s="120"/>
      <c r="N151" s="120"/>
      <c r="O151" s="120"/>
      <c r="P151" s="116">
        <f t="shared" si="14"/>
        <v>0</v>
      </c>
      <c r="Q151" s="120"/>
      <c r="R151" s="120"/>
      <c r="S151" s="120"/>
      <c r="T151" s="120"/>
      <c r="U151" s="120"/>
      <c r="V151" s="120"/>
      <c r="W151" s="117"/>
      <c r="X151" s="117">
        <f t="shared" si="2"/>
        <v>0</v>
      </c>
      <c r="Y151" s="97"/>
    </row>
    <row r="152" spans="1:25" ht="15.75">
      <c r="A152" s="469"/>
      <c r="B152" s="469"/>
      <c r="C152" s="469"/>
      <c r="D152" s="106">
        <v>144</v>
      </c>
      <c r="E152" s="106" t="s">
        <v>238</v>
      </c>
      <c r="F152" s="120"/>
      <c r="G152" s="120"/>
      <c r="H152" s="120"/>
      <c r="I152" s="120"/>
      <c r="J152" s="116">
        <f t="shared" si="13"/>
        <v>0</v>
      </c>
      <c r="K152" s="120"/>
      <c r="L152" s="120"/>
      <c r="M152" s="120"/>
      <c r="N152" s="120"/>
      <c r="O152" s="120"/>
      <c r="P152" s="116">
        <f t="shared" si="14"/>
        <v>0</v>
      </c>
      <c r="Q152" s="120"/>
      <c r="R152" s="120"/>
      <c r="S152" s="120"/>
      <c r="T152" s="120"/>
      <c r="U152" s="120"/>
      <c r="V152" s="120"/>
      <c r="W152" s="117"/>
      <c r="X152" s="117">
        <f t="shared" si="2"/>
        <v>0</v>
      </c>
      <c r="Y152" s="97"/>
    </row>
    <row r="153" spans="1:25" ht="47.25">
      <c r="A153" s="469"/>
      <c r="B153" s="469"/>
      <c r="C153" s="469"/>
      <c r="D153" s="106">
        <v>145</v>
      </c>
      <c r="E153" s="106" t="s">
        <v>295</v>
      </c>
      <c r="F153" s="120"/>
      <c r="G153" s="120"/>
      <c r="H153" s="120"/>
      <c r="I153" s="120"/>
      <c r="J153" s="116">
        <f t="shared" si="13"/>
        <v>0</v>
      </c>
      <c r="K153" s="120"/>
      <c r="L153" s="120"/>
      <c r="M153" s="120"/>
      <c r="N153" s="120"/>
      <c r="O153" s="120"/>
      <c r="P153" s="116">
        <f t="shared" si="14"/>
        <v>0</v>
      </c>
      <c r="Q153" s="120"/>
      <c r="R153" s="120"/>
      <c r="S153" s="120"/>
      <c r="T153" s="120"/>
      <c r="U153" s="120"/>
      <c r="V153" s="120"/>
      <c r="W153" s="117"/>
      <c r="X153" s="117">
        <f t="shared" si="2"/>
        <v>0</v>
      </c>
      <c r="Y153" s="97"/>
    </row>
    <row r="154" spans="1:25" ht="141.75">
      <c r="A154" s="469"/>
      <c r="B154" s="106" t="s">
        <v>240</v>
      </c>
      <c r="C154" s="106" t="s">
        <v>241</v>
      </c>
      <c r="D154" s="106">
        <v>146</v>
      </c>
      <c r="E154" s="106" t="s">
        <v>242</v>
      </c>
      <c r="F154" s="120"/>
      <c r="G154" s="120"/>
      <c r="H154" s="120"/>
      <c r="I154" s="120"/>
      <c r="J154" s="116">
        <f t="shared" si="13"/>
        <v>0</v>
      </c>
      <c r="K154" s="120"/>
      <c r="L154" s="120"/>
      <c r="M154" s="120"/>
      <c r="N154" s="120"/>
      <c r="O154" s="120"/>
      <c r="P154" s="116">
        <f t="shared" si="14"/>
        <v>0</v>
      </c>
      <c r="Q154" s="120"/>
      <c r="R154" s="120"/>
      <c r="S154" s="120"/>
      <c r="T154" s="120">
        <v>6</v>
      </c>
      <c r="U154" s="120"/>
      <c r="V154" s="120"/>
      <c r="W154" s="117"/>
      <c r="X154" s="117">
        <f t="shared" si="2"/>
        <v>6</v>
      </c>
      <c r="Y154" s="256" t="s">
        <v>672</v>
      </c>
    </row>
    <row r="155" spans="1:25" ht="31.5">
      <c r="A155" s="469"/>
      <c r="B155" s="106" t="s">
        <v>243</v>
      </c>
      <c r="C155" s="106" t="s">
        <v>244</v>
      </c>
      <c r="D155" s="106">
        <v>147</v>
      </c>
      <c r="E155" s="106" t="s">
        <v>125</v>
      </c>
      <c r="F155" s="120"/>
      <c r="G155" s="120"/>
      <c r="H155" s="120"/>
      <c r="I155" s="120"/>
      <c r="J155" s="116">
        <f t="shared" si="13"/>
        <v>0</v>
      </c>
      <c r="K155" s="120"/>
      <c r="L155" s="120"/>
      <c r="M155" s="120"/>
      <c r="N155" s="120"/>
      <c r="O155" s="120"/>
      <c r="P155" s="116">
        <f t="shared" si="14"/>
        <v>0</v>
      </c>
      <c r="Q155" s="120"/>
      <c r="R155" s="120"/>
      <c r="S155" s="120"/>
      <c r="T155" s="120"/>
      <c r="U155" s="120"/>
      <c r="V155" s="120"/>
      <c r="W155" s="117"/>
      <c r="X155" s="117">
        <f t="shared" si="2"/>
        <v>0</v>
      </c>
      <c r="Y155" s="97"/>
    </row>
    <row r="156" spans="1:25" ht="63" hidden="1">
      <c r="A156" s="469"/>
      <c r="B156" s="106" t="s">
        <v>245</v>
      </c>
      <c r="C156" s="106" t="s">
        <v>246</v>
      </c>
      <c r="D156" s="106">
        <v>148</v>
      </c>
      <c r="E156" s="106" t="s">
        <v>247</v>
      </c>
      <c r="F156" s="120"/>
      <c r="G156" s="120"/>
      <c r="H156" s="120"/>
      <c r="I156" s="120"/>
      <c r="J156" s="116">
        <f t="shared" si="13"/>
        <v>0</v>
      </c>
      <c r="K156" s="120"/>
      <c r="L156" s="120"/>
      <c r="M156" s="120"/>
      <c r="N156" s="120"/>
      <c r="O156" s="120"/>
      <c r="P156" s="116">
        <f t="shared" si="14"/>
        <v>0</v>
      </c>
      <c r="Q156" s="120"/>
      <c r="R156" s="120"/>
      <c r="S156" s="122"/>
      <c r="T156" s="122"/>
      <c r="U156" s="120"/>
      <c r="V156" s="120"/>
      <c r="W156" s="117"/>
      <c r="X156" s="117">
        <f t="shared" si="2"/>
        <v>0</v>
      </c>
      <c r="Y156" s="135"/>
    </row>
    <row r="157" spans="1:25" ht="94.5">
      <c r="A157" s="469"/>
      <c r="B157" s="106" t="s">
        <v>248</v>
      </c>
      <c r="C157" s="106" t="s">
        <v>249</v>
      </c>
      <c r="D157" s="106">
        <v>149</v>
      </c>
      <c r="E157" s="106" t="s">
        <v>250</v>
      </c>
      <c r="F157" s="151"/>
      <c r="G157" s="151"/>
      <c r="H157" s="151"/>
      <c r="I157" s="151"/>
      <c r="J157" s="116">
        <f t="shared" si="13"/>
        <v>0</v>
      </c>
      <c r="K157" s="151"/>
      <c r="L157" s="151"/>
      <c r="M157" s="151"/>
      <c r="N157" s="151"/>
      <c r="O157" s="151"/>
      <c r="P157" s="116">
        <f t="shared" si="14"/>
        <v>0</v>
      </c>
      <c r="Q157" s="151"/>
      <c r="R157" s="151"/>
      <c r="S157" s="122"/>
      <c r="T157" s="122">
        <f>(0.03*130)</f>
        <v>3.9</v>
      </c>
      <c r="U157" s="151"/>
      <c r="V157" s="151"/>
      <c r="W157" s="117"/>
      <c r="X157" s="117">
        <f t="shared" si="2"/>
        <v>3.9</v>
      </c>
      <c r="Y157" s="135" t="s">
        <v>673</v>
      </c>
    </row>
    <row r="158" spans="1:25" ht="41.25" customHeight="1">
      <c r="A158" s="469"/>
      <c r="B158" s="478" t="s">
        <v>251</v>
      </c>
      <c r="C158" s="469"/>
      <c r="D158" s="469"/>
      <c r="E158" s="99"/>
      <c r="F158" s="100">
        <f t="shared" ref="F158:W158" si="15">SUM(F135:F157)</f>
        <v>0</v>
      </c>
      <c r="G158" s="100">
        <f t="shared" si="15"/>
        <v>0</v>
      </c>
      <c r="H158" s="100">
        <f t="shared" si="15"/>
        <v>0</v>
      </c>
      <c r="I158" s="100">
        <f t="shared" si="15"/>
        <v>0</v>
      </c>
      <c r="J158" s="100">
        <f t="shared" si="15"/>
        <v>0</v>
      </c>
      <c r="K158" s="100">
        <f t="shared" si="15"/>
        <v>0</v>
      </c>
      <c r="L158" s="100">
        <f t="shared" si="15"/>
        <v>0</v>
      </c>
      <c r="M158" s="100">
        <f t="shared" si="15"/>
        <v>0</v>
      </c>
      <c r="N158" s="100">
        <f t="shared" si="15"/>
        <v>0</v>
      </c>
      <c r="O158" s="100">
        <f t="shared" si="15"/>
        <v>0</v>
      </c>
      <c r="P158" s="100">
        <f t="shared" si="15"/>
        <v>0</v>
      </c>
      <c r="Q158" s="100">
        <f t="shared" si="15"/>
        <v>0</v>
      </c>
      <c r="R158" s="100">
        <f t="shared" si="15"/>
        <v>0</v>
      </c>
      <c r="S158" s="100">
        <f t="shared" si="15"/>
        <v>0</v>
      </c>
      <c r="T158" s="100">
        <f t="shared" si="15"/>
        <v>1107.43</v>
      </c>
      <c r="U158" s="100">
        <f t="shared" si="15"/>
        <v>0</v>
      </c>
      <c r="V158" s="100">
        <f t="shared" si="15"/>
        <v>0</v>
      </c>
      <c r="W158" s="102">
        <f t="shared" si="15"/>
        <v>0</v>
      </c>
      <c r="X158" s="100">
        <f t="shared" si="2"/>
        <v>1107.43</v>
      </c>
      <c r="Y158" s="253"/>
    </row>
    <row r="159" spans="1:25" ht="94.5">
      <c r="A159" s="477" t="s">
        <v>252</v>
      </c>
      <c r="B159" s="476" t="s">
        <v>253</v>
      </c>
      <c r="C159" s="476" t="s">
        <v>211</v>
      </c>
      <c r="D159" s="106">
        <v>150</v>
      </c>
      <c r="E159" s="106" t="s">
        <v>239</v>
      </c>
      <c r="F159" s="120"/>
      <c r="G159" s="121"/>
      <c r="H159" s="121">
        <v>125</v>
      </c>
      <c r="I159" s="121"/>
      <c r="J159" s="125">
        <f t="shared" ref="J159:J175" si="16">H159+I159</f>
        <v>125</v>
      </c>
      <c r="K159" s="120"/>
      <c r="L159" s="120"/>
      <c r="M159" s="120"/>
      <c r="N159" s="120"/>
      <c r="O159" s="120"/>
      <c r="P159" s="116">
        <f t="shared" ref="P159:P215" si="17">N159+O159</f>
        <v>0</v>
      </c>
      <c r="Q159" s="120"/>
      <c r="R159" s="120"/>
      <c r="S159" s="121"/>
      <c r="T159" s="121">
        <v>1</v>
      </c>
      <c r="U159" s="120"/>
      <c r="V159" s="120"/>
      <c r="W159" s="117"/>
      <c r="X159" s="117">
        <f t="shared" si="2"/>
        <v>126</v>
      </c>
      <c r="Y159" s="257" t="s">
        <v>1019</v>
      </c>
    </row>
    <row r="160" spans="1:25" ht="31.5">
      <c r="A160" s="469"/>
      <c r="B160" s="469"/>
      <c r="C160" s="469"/>
      <c r="D160" s="106">
        <v>151</v>
      </c>
      <c r="E160" s="106" t="s">
        <v>254</v>
      </c>
      <c r="F160" s="120"/>
      <c r="G160" s="121"/>
      <c r="H160" s="121"/>
      <c r="I160" s="121"/>
      <c r="J160" s="125">
        <f t="shared" si="16"/>
        <v>0</v>
      </c>
      <c r="K160" s="122"/>
      <c r="L160" s="122"/>
      <c r="M160" s="120"/>
      <c r="N160" s="120"/>
      <c r="O160" s="120"/>
      <c r="P160" s="116">
        <f t="shared" si="17"/>
        <v>0</v>
      </c>
      <c r="Q160" s="120"/>
      <c r="R160" s="120"/>
      <c r="S160" s="121"/>
      <c r="T160" s="121"/>
      <c r="U160" s="120"/>
      <c r="V160" s="120"/>
      <c r="W160" s="117"/>
      <c r="X160" s="117">
        <f t="shared" si="2"/>
        <v>0</v>
      </c>
      <c r="Y160" s="245"/>
    </row>
    <row r="161" spans="1:25" ht="75" customHeight="1">
      <c r="A161" s="469"/>
      <c r="B161" s="469"/>
      <c r="C161" s="469"/>
      <c r="D161" s="106">
        <v>152</v>
      </c>
      <c r="E161" s="106" t="s">
        <v>255</v>
      </c>
      <c r="F161" s="120"/>
      <c r="G161" s="120"/>
      <c r="H161" s="120"/>
      <c r="I161" s="120"/>
      <c r="J161" s="116">
        <f t="shared" si="16"/>
        <v>0</v>
      </c>
      <c r="K161" s="120"/>
      <c r="L161" s="120"/>
      <c r="M161" s="120"/>
      <c r="N161" s="120"/>
      <c r="O161" s="120"/>
      <c r="P161" s="116">
        <f t="shared" si="17"/>
        <v>0</v>
      </c>
      <c r="Q161" s="120"/>
      <c r="R161" s="120"/>
      <c r="S161" s="121"/>
      <c r="T161" s="98">
        <f>471 * 3600/100000</f>
        <v>16.956</v>
      </c>
      <c r="U161" s="120"/>
      <c r="V161" s="120"/>
      <c r="W161" s="117"/>
      <c r="X161" s="117">
        <f t="shared" si="2"/>
        <v>16.956</v>
      </c>
      <c r="Y161" s="135" t="s">
        <v>1020</v>
      </c>
    </row>
    <row r="162" spans="1:25" ht="15.75">
      <c r="A162" s="469"/>
      <c r="B162" s="469"/>
      <c r="C162" s="469"/>
      <c r="D162" s="106">
        <v>153</v>
      </c>
      <c r="E162" s="106" t="s">
        <v>256</v>
      </c>
      <c r="F162" s="151"/>
      <c r="G162" s="151"/>
      <c r="H162" s="151"/>
      <c r="I162" s="151"/>
      <c r="J162" s="116">
        <f t="shared" si="16"/>
        <v>0</v>
      </c>
      <c r="K162" s="151"/>
      <c r="L162" s="151"/>
      <c r="M162" s="151"/>
      <c r="N162" s="151"/>
      <c r="O162" s="151"/>
      <c r="P162" s="116">
        <f t="shared" si="17"/>
        <v>0</v>
      </c>
      <c r="Q162" s="151"/>
      <c r="R162" s="151"/>
      <c r="S162" s="151"/>
      <c r="T162" s="151"/>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6"/>
        <v>0</v>
      </c>
      <c r="K163" s="120"/>
      <c r="L163" s="120"/>
      <c r="M163" s="120"/>
      <c r="N163" s="120"/>
      <c r="O163" s="122"/>
      <c r="P163" s="117">
        <f t="shared" si="17"/>
        <v>0</v>
      </c>
      <c r="Q163" s="122"/>
      <c r="R163" s="122"/>
      <c r="S163" s="120"/>
      <c r="T163" s="120"/>
      <c r="U163" s="120"/>
      <c r="V163" s="120"/>
      <c r="W163" s="117"/>
      <c r="X163" s="117">
        <f t="shared" si="2"/>
        <v>0</v>
      </c>
      <c r="Y163" s="97"/>
    </row>
    <row r="164" spans="1:25" ht="31.5">
      <c r="A164" s="469"/>
      <c r="B164" s="469"/>
      <c r="C164" s="469"/>
      <c r="D164" s="106">
        <v>155</v>
      </c>
      <c r="E164" s="106" t="s">
        <v>260</v>
      </c>
      <c r="F164" s="120"/>
      <c r="G164" s="120"/>
      <c r="H164" s="120"/>
      <c r="I164" s="120"/>
      <c r="J164" s="116">
        <f t="shared" si="16"/>
        <v>0</v>
      </c>
      <c r="K164" s="120"/>
      <c r="L164" s="120"/>
      <c r="M164" s="120"/>
      <c r="N164" s="120"/>
      <c r="O164" s="120"/>
      <c r="P164" s="116">
        <f t="shared" si="17"/>
        <v>0</v>
      </c>
      <c r="Q164" s="120"/>
      <c r="R164" s="120"/>
      <c r="S164" s="121"/>
      <c r="T164" s="121"/>
      <c r="U164" s="120"/>
      <c r="V164" s="120"/>
      <c r="W164" s="117"/>
      <c r="X164" s="117">
        <f t="shared" si="2"/>
        <v>0</v>
      </c>
      <c r="Y164" s="97"/>
    </row>
    <row r="165" spans="1:25" ht="78.75">
      <c r="A165" s="469"/>
      <c r="B165" s="469"/>
      <c r="C165" s="469"/>
      <c r="D165" s="106">
        <v>156</v>
      </c>
      <c r="E165" s="106" t="s">
        <v>261</v>
      </c>
      <c r="F165" s="120"/>
      <c r="G165" s="120"/>
      <c r="H165" s="120"/>
      <c r="I165" s="121"/>
      <c r="J165" s="125">
        <f t="shared" si="16"/>
        <v>0</v>
      </c>
      <c r="K165" s="122"/>
      <c r="L165" s="122"/>
      <c r="M165" s="120"/>
      <c r="N165" s="120"/>
      <c r="O165" s="120"/>
      <c r="P165" s="116">
        <f t="shared" si="17"/>
        <v>0</v>
      </c>
      <c r="Q165" s="120"/>
      <c r="R165" s="120"/>
      <c r="S165" s="121"/>
      <c r="T165" s="121">
        <v>2</v>
      </c>
      <c r="U165" s="115"/>
      <c r="V165" s="120"/>
      <c r="W165" s="117"/>
      <c r="X165" s="117">
        <f t="shared" si="2"/>
        <v>2</v>
      </c>
      <c r="Y165" s="97" t="s">
        <v>812</v>
      </c>
    </row>
    <row r="166" spans="1:25" ht="31.5">
      <c r="A166" s="469"/>
      <c r="B166" s="469"/>
      <c r="C166" s="469"/>
      <c r="D166" s="106">
        <v>157</v>
      </c>
      <c r="E166" s="106" t="s">
        <v>262</v>
      </c>
      <c r="F166" s="120"/>
      <c r="G166" s="120"/>
      <c r="H166" s="120"/>
      <c r="I166" s="120"/>
      <c r="J166" s="116">
        <f t="shared" si="16"/>
        <v>0</v>
      </c>
      <c r="K166" s="120"/>
      <c r="L166" s="120"/>
      <c r="M166" s="120"/>
      <c r="N166" s="120"/>
      <c r="O166" s="120"/>
      <c r="P166" s="116">
        <f t="shared" si="17"/>
        <v>0</v>
      </c>
      <c r="Q166" s="120"/>
      <c r="R166" s="120"/>
      <c r="S166" s="120"/>
      <c r="T166" s="120"/>
      <c r="U166" s="120"/>
      <c r="V166" s="120"/>
      <c r="W166" s="117"/>
      <c r="X166" s="117">
        <f t="shared" si="2"/>
        <v>0</v>
      </c>
      <c r="Y166" s="97"/>
    </row>
    <row r="167" spans="1:25" ht="47.25">
      <c r="A167" s="469"/>
      <c r="B167" s="469"/>
      <c r="C167" s="469"/>
      <c r="D167" s="106">
        <v>158</v>
      </c>
      <c r="E167" s="106" t="s">
        <v>263</v>
      </c>
      <c r="F167" s="120"/>
      <c r="G167" s="120"/>
      <c r="H167" s="120"/>
      <c r="I167" s="120"/>
      <c r="J167" s="116">
        <f t="shared" si="16"/>
        <v>0</v>
      </c>
      <c r="K167" s="120"/>
      <c r="L167" s="120"/>
      <c r="M167" s="120"/>
      <c r="N167" s="120"/>
      <c r="O167" s="120"/>
      <c r="P167" s="116">
        <f t="shared" si="17"/>
        <v>0</v>
      </c>
      <c r="Q167" s="120"/>
      <c r="R167" s="120"/>
      <c r="S167" s="120"/>
      <c r="T167" s="120"/>
      <c r="U167" s="120"/>
      <c r="V167" s="120"/>
      <c r="W167" s="117"/>
      <c r="X167" s="117">
        <f t="shared" si="2"/>
        <v>0</v>
      </c>
      <c r="Y167" s="97"/>
    </row>
    <row r="168" spans="1:25" ht="94.5">
      <c r="A168" s="469"/>
      <c r="B168" s="476" t="s">
        <v>264</v>
      </c>
      <c r="C168" s="476" t="s">
        <v>216</v>
      </c>
      <c r="D168" s="106">
        <v>159</v>
      </c>
      <c r="E168" s="106" t="s">
        <v>217</v>
      </c>
      <c r="F168" s="120"/>
      <c r="G168" s="120"/>
      <c r="H168" s="120"/>
      <c r="I168" s="120"/>
      <c r="J168" s="116">
        <f t="shared" si="16"/>
        <v>0</v>
      </c>
      <c r="K168" s="120"/>
      <c r="L168" s="120"/>
      <c r="M168" s="120"/>
      <c r="N168" s="120"/>
      <c r="O168" s="122"/>
      <c r="P168" s="117">
        <f t="shared" si="17"/>
        <v>0</v>
      </c>
      <c r="Q168" s="120"/>
      <c r="R168" s="120"/>
      <c r="S168" s="121"/>
      <c r="T168" s="139">
        <v>57.564</v>
      </c>
      <c r="U168" s="120"/>
      <c r="V168" s="120"/>
      <c r="W168" s="117"/>
      <c r="X168" s="117">
        <f t="shared" si="2"/>
        <v>57.564</v>
      </c>
      <c r="Y168" s="97" t="s">
        <v>1000</v>
      </c>
    </row>
    <row r="169" spans="1:25" ht="15.75">
      <c r="A169" s="469"/>
      <c r="B169" s="469"/>
      <c r="C169" s="469"/>
      <c r="D169" s="106">
        <v>160</v>
      </c>
      <c r="E169" s="106" t="s">
        <v>265</v>
      </c>
      <c r="F169" s="120"/>
      <c r="G169" s="120"/>
      <c r="H169" s="120"/>
      <c r="I169" s="120"/>
      <c r="J169" s="116">
        <f t="shared" si="16"/>
        <v>0</v>
      </c>
      <c r="K169" s="120"/>
      <c r="L169" s="120"/>
      <c r="M169" s="120"/>
      <c r="N169" s="120"/>
      <c r="O169" s="120"/>
      <c r="P169" s="116">
        <f t="shared" si="17"/>
        <v>0</v>
      </c>
      <c r="Q169" s="120"/>
      <c r="R169" s="120"/>
      <c r="S169" s="120"/>
      <c r="T169" s="120"/>
      <c r="U169" s="120"/>
      <c r="V169" s="120"/>
      <c r="W169" s="117"/>
      <c r="X169" s="117">
        <f t="shared" si="2"/>
        <v>0</v>
      </c>
      <c r="Y169" s="245"/>
    </row>
    <row r="170" spans="1:25" ht="15.75">
      <c r="A170" s="469"/>
      <c r="B170" s="469"/>
      <c r="C170" s="469"/>
      <c r="D170" s="106">
        <v>161</v>
      </c>
      <c r="E170" s="106" t="s">
        <v>219</v>
      </c>
      <c r="F170" s="120"/>
      <c r="G170" s="120"/>
      <c r="H170" s="120"/>
      <c r="I170" s="120"/>
      <c r="J170" s="116">
        <f t="shared" si="16"/>
        <v>0</v>
      </c>
      <c r="K170" s="120"/>
      <c r="L170" s="120"/>
      <c r="M170" s="120"/>
      <c r="N170" s="120"/>
      <c r="O170" s="120"/>
      <c r="P170" s="116">
        <f t="shared" si="17"/>
        <v>0</v>
      </c>
      <c r="Q170" s="120"/>
      <c r="R170" s="120"/>
      <c r="S170" s="120"/>
      <c r="T170" s="120"/>
      <c r="U170" s="120"/>
      <c r="V170" s="120"/>
      <c r="W170" s="117"/>
      <c r="X170" s="117">
        <f t="shared" si="2"/>
        <v>0</v>
      </c>
      <c r="Y170" s="97"/>
    </row>
    <row r="171" spans="1:25" ht="15.75">
      <c r="A171" s="469"/>
      <c r="B171" s="469"/>
      <c r="C171" s="469"/>
      <c r="D171" s="106">
        <v>162</v>
      </c>
      <c r="E171" s="106" t="s">
        <v>220</v>
      </c>
      <c r="F171" s="120"/>
      <c r="G171" s="120"/>
      <c r="H171" s="120"/>
      <c r="I171" s="120"/>
      <c r="J171" s="116">
        <f t="shared" si="16"/>
        <v>0</v>
      </c>
      <c r="K171" s="120"/>
      <c r="L171" s="120"/>
      <c r="M171" s="120"/>
      <c r="N171" s="120"/>
      <c r="O171" s="120"/>
      <c r="P171" s="116">
        <f t="shared" si="17"/>
        <v>0</v>
      </c>
      <c r="Q171" s="120"/>
      <c r="R171" s="120"/>
      <c r="S171" s="120"/>
      <c r="T171" s="120"/>
      <c r="U171" s="120"/>
      <c r="V171" s="120"/>
      <c r="W171" s="117"/>
      <c r="X171" s="117">
        <f t="shared" si="2"/>
        <v>0</v>
      </c>
      <c r="Y171" s="97"/>
    </row>
    <row r="172" spans="1:25" ht="47.25">
      <c r="A172" s="469"/>
      <c r="B172" s="469"/>
      <c r="C172" s="469"/>
      <c r="D172" s="106">
        <v>163</v>
      </c>
      <c r="E172" s="106" t="s">
        <v>266</v>
      </c>
      <c r="F172" s="120"/>
      <c r="G172" s="120"/>
      <c r="H172" s="120"/>
      <c r="I172" s="120"/>
      <c r="J172" s="116">
        <f t="shared" si="16"/>
        <v>0</v>
      </c>
      <c r="K172" s="120"/>
      <c r="L172" s="120"/>
      <c r="M172" s="120"/>
      <c r="N172" s="120"/>
      <c r="O172" s="120"/>
      <c r="P172" s="116">
        <f t="shared" si="17"/>
        <v>0</v>
      </c>
      <c r="Q172" s="120"/>
      <c r="R172" s="120"/>
      <c r="S172" s="121"/>
      <c r="T172" s="121"/>
      <c r="U172" s="120"/>
      <c r="V172" s="120"/>
      <c r="W172" s="117"/>
      <c r="X172" s="117">
        <f t="shared" si="2"/>
        <v>0</v>
      </c>
      <c r="Y172" s="135" t="s">
        <v>380</v>
      </c>
    </row>
    <row r="173" spans="1:25" ht="15.75">
      <c r="A173" s="469"/>
      <c r="B173" s="476" t="s">
        <v>267</v>
      </c>
      <c r="C173" s="476" t="s">
        <v>268</v>
      </c>
      <c r="D173" s="106">
        <v>164</v>
      </c>
      <c r="E173" s="106" t="s">
        <v>269</v>
      </c>
      <c r="F173" s="120"/>
      <c r="G173" s="121"/>
      <c r="H173" s="121"/>
      <c r="I173" s="121"/>
      <c r="J173" s="125">
        <f t="shared" si="16"/>
        <v>0</v>
      </c>
      <c r="K173" s="120"/>
      <c r="L173" s="120"/>
      <c r="M173" s="120"/>
      <c r="N173" s="120"/>
      <c r="O173" s="120"/>
      <c r="P173" s="116">
        <f t="shared" si="17"/>
        <v>0</v>
      </c>
      <c r="Q173" s="120"/>
      <c r="R173" s="120"/>
      <c r="S173" s="120"/>
      <c r="T173" s="120"/>
      <c r="U173" s="120"/>
      <c r="V173" s="120"/>
      <c r="W173" s="117"/>
      <c r="X173" s="117">
        <f t="shared" si="2"/>
        <v>0</v>
      </c>
      <c r="Y173" s="97"/>
    </row>
    <row r="174" spans="1:25" ht="15.75">
      <c r="A174" s="469"/>
      <c r="B174" s="469"/>
      <c r="C174" s="469"/>
      <c r="D174" s="106">
        <v>165</v>
      </c>
      <c r="E174" s="106" t="s">
        <v>270</v>
      </c>
      <c r="F174" s="120"/>
      <c r="G174" s="121"/>
      <c r="H174" s="121"/>
      <c r="I174" s="121"/>
      <c r="J174" s="125">
        <f t="shared" si="16"/>
        <v>0</v>
      </c>
      <c r="K174" s="120"/>
      <c r="L174" s="120"/>
      <c r="M174" s="120"/>
      <c r="N174" s="120"/>
      <c r="O174" s="120"/>
      <c r="P174" s="116">
        <f t="shared" si="17"/>
        <v>0</v>
      </c>
      <c r="Q174" s="120"/>
      <c r="R174" s="120"/>
      <c r="S174" s="120"/>
      <c r="T174" s="120"/>
      <c r="U174" s="120"/>
      <c r="V174" s="120"/>
      <c r="W174" s="117"/>
      <c r="X174" s="117">
        <f t="shared" si="2"/>
        <v>0</v>
      </c>
      <c r="Y174" s="97"/>
    </row>
    <row r="175" spans="1:25" ht="31.5">
      <c r="A175" s="469"/>
      <c r="B175" s="469"/>
      <c r="C175" s="469"/>
      <c r="D175" s="106">
        <v>166</v>
      </c>
      <c r="E175" s="106" t="s">
        <v>271</v>
      </c>
      <c r="F175" s="120"/>
      <c r="G175" s="121"/>
      <c r="H175" s="121"/>
      <c r="I175" s="121"/>
      <c r="J175" s="125">
        <f t="shared" si="16"/>
        <v>0</v>
      </c>
      <c r="K175" s="120"/>
      <c r="L175" s="120"/>
      <c r="M175" s="120"/>
      <c r="N175" s="120"/>
      <c r="O175" s="120"/>
      <c r="P175" s="116">
        <f t="shared" si="17"/>
        <v>0</v>
      </c>
      <c r="Q175" s="120"/>
      <c r="R175" s="120"/>
      <c r="S175" s="120"/>
      <c r="T175" s="120"/>
      <c r="U175" s="120"/>
      <c r="V175" s="120"/>
      <c r="W175" s="117"/>
      <c r="X175" s="117">
        <f t="shared" si="2"/>
        <v>0</v>
      </c>
      <c r="Y175" s="97"/>
    </row>
    <row r="176" spans="1:25" ht="15.75">
      <c r="A176" s="469"/>
      <c r="B176" s="469"/>
      <c r="C176" s="469"/>
      <c r="D176" s="106">
        <v>167</v>
      </c>
      <c r="E176" s="106" t="s">
        <v>272</v>
      </c>
      <c r="F176" s="120"/>
      <c r="G176" s="121"/>
      <c r="H176" s="121"/>
      <c r="I176" s="121"/>
      <c r="J176" s="116"/>
      <c r="K176" s="120"/>
      <c r="L176" s="120"/>
      <c r="M176" s="120"/>
      <c r="N176" s="120"/>
      <c r="O176" s="120"/>
      <c r="P176" s="116">
        <f t="shared" si="17"/>
        <v>0</v>
      </c>
      <c r="Q176" s="120"/>
      <c r="R176" s="120"/>
      <c r="S176" s="120"/>
      <c r="T176" s="120"/>
      <c r="U176" s="120"/>
      <c r="V176" s="120"/>
      <c r="W176" s="117"/>
      <c r="X176" s="117">
        <f t="shared" si="2"/>
        <v>0</v>
      </c>
      <c r="Y176" s="97" t="s">
        <v>381</v>
      </c>
    </row>
    <row r="177" spans="1:25" ht="15.75">
      <c r="A177" s="469"/>
      <c r="B177" s="469"/>
      <c r="C177" s="469"/>
      <c r="D177" s="106">
        <v>168</v>
      </c>
      <c r="E177" s="106" t="s">
        <v>273</v>
      </c>
      <c r="F177" s="120"/>
      <c r="G177" s="121"/>
      <c r="H177" s="121"/>
      <c r="I177" s="121"/>
      <c r="J177" s="116"/>
      <c r="K177" s="120"/>
      <c r="L177" s="120"/>
      <c r="M177" s="120"/>
      <c r="N177" s="120"/>
      <c r="O177" s="120"/>
      <c r="P177" s="116">
        <f t="shared" si="17"/>
        <v>0</v>
      </c>
      <c r="Q177" s="120"/>
      <c r="R177" s="120"/>
      <c r="S177" s="120"/>
      <c r="T177" s="120"/>
      <c r="U177" s="120"/>
      <c r="V177" s="120"/>
      <c r="W177" s="117"/>
      <c r="X177" s="117">
        <f t="shared" si="2"/>
        <v>0</v>
      </c>
      <c r="Y177" s="97" t="s">
        <v>382</v>
      </c>
    </row>
    <row r="178" spans="1:25" ht="47.25">
      <c r="A178" s="469"/>
      <c r="B178" s="469"/>
      <c r="C178" s="469"/>
      <c r="D178" s="106">
        <v>169</v>
      </c>
      <c r="E178" s="106" t="s">
        <v>274</v>
      </c>
      <c r="F178" s="120"/>
      <c r="G178" s="121"/>
      <c r="H178" s="121"/>
      <c r="I178" s="121"/>
      <c r="J178" s="116"/>
      <c r="K178" s="122"/>
      <c r="L178" s="122"/>
      <c r="M178" s="120"/>
      <c r="N178" s="120"/>
      <c r="O178" s="120"/>
      <c r="P178" s="116">
        <f t="shared" si="17"/>
        <v>0</v>
      </c>
      <c r="Q178" s="120"/>
      <c r="R178" s="120"/>
      <c r="S178" s="120"/>
      <c r="T178" s="120"/>
      <c r="U178" s="120"/>
      <c r="V178" s="120"/>
      <c r="W178" s="117"/>
      <c r="X178" s="117">
        <f t="shared" si="2"/>
        <v>0</v>
      </c>
      <c r="Y178" s="97"/>
    </row>
    <row r="179" spans="1:25" ht="63">
      <c r="A179" s="469"/>
      <c r="B179" s="469"/>
      <c r="C179" s="469"/>
      <c r="D179" s="106">
        <v>170</v>
      </c>
      <c r="E179" s="106" t="s">
        <v>275</v>
      </c>
      <c r="F179" s="120"/>
      <c r="G179" s="120"/>
      <c r="H179" s="120"/>
      <c r="I179" s="120"/>
      <c r="J179" s="116">
        <f t="shared" ref="J179:J215" si="18">H179+I179</f>
        <v>0</v>
      </c>
      <c r="K179" s="120"/>
      <c r="L179" s="120"/>
      <c r="M179" s="120"/>
      <c r="N179" s="120"/>
      <c r="O179" s="120"/>
      <c r="P179" s="116">
        <f t="shared" si="17"/>
        <v>0</v>
      </c>
      <c r="Q179" s="120"/>
      <c r="R179" s="120"/>
      <c r="S179" s="120"/>
      <c r="T179" s="120"/>
      <c r="U179" s="120"/>
      <c r="V179" s="120"/>
      <c r="W179" s="117"/>
      <c r="X179" s="117">
        <f t="shared" si="2"/>
        <v>0</v>
      </c>
      <c r="Y179" s="97"/>
    </row>
    <row r="180" spans="1:25" ht="31.5">
      <c r="A180" s="469"/>
      <c r="B180" s="476" t="s">
        <v>276</v>
      </c>
      <c r="C180" s="476" t="s">
        <v>277</v>
      </c>
      <c r="D180" s="106">
        <v>171</v>
      </c>
      <c r="E180" s="106" t="s">
        <v>278</v>
      </c>
      <c r="F180" s="120"/>
      <c r="G180" s="120"/>
      <c r="H180" s="120"/>
      <c r="I180" s="120"/>
      <c r="J180" s="116">
        <f t="shared" si="18"/>
        <v>0</v>
      </c>
      <c r="K180" s="120"/>
      <c r="L180" s="120"/>
      <c r="M180" s="120"/>
      <c r="N180" s="120"/>
      <c r="O180" s="120"/>
      <c r="P180" s="116">
        <f t="shared" si="17"/>
        <v>0</v>
      </c>
      <c r="Q180" s="120"/>
      <c r="R180" s="120"/>
      <c r="S180" s="120"/>
      <c r="T180" s="120"/>
      <c r="U180" s="120"/>
      <c r="V180" s="120"/>
      <c r="W180" s="117"/>
      <c r="X180" s="117">
        <f t="shared" si="2"/>
        <v>0</v>
      </c>
      <c r="Y180" s="97"/>
    </row>
    <row r="181" spans="1:25" ht="31.5">
      <c r="A181" s="469"/>
      <c r="B181" s="469"/>
      <c r="C181" s="469"/>
      <c r="D181" s="106">
        <v>172</v>
      </c>
      <c r="E181" s="106" t="s">
        <v>279</v>
      </c>
      <c r="F181" s="120"/>
      <c r="G181" s="120"/>
      <c r="H181" s="120"/>
      <c r="I181" s="120"/>
      <c r="J181" s="116">
        <f t="shared" si="18"/>
        <v>0</v>
      </c>
      <c r="K181" s="120"/>
      <c r="L181" s="120"/>
      <c r="M181" s="120"/>
      <c r="N181" s="120"/>
      <c r="O181" s="120"/>
      <c r="P181" s="116">
        <f t="shared" si="17"/>
        <v>0</v>
      </c>
      <c r="Q181" s="120"/>
      <c r="R181" s="120"/>
      <c r="S181" s="122"/>
      <c r="T181" s="122"/>
      <c r="U181" s="120"/>
      <c r="V181" s="120"/>
      <c r="W181" s="117"/>
      <c r="X181" s="117">
        <f t="shared" si="2"/>
        <v>0</v>
      </c>
      <c r="Y181" s="97"/>
    </row>
    <row r="182" spans="1:25" ht="31.5">
      <c r="A182" s="469"/>
      <c r="B182" s="469"/>
      <c r="C182" s="469"/>
      <c r="D182" s="106">
        <v>173</v>
      </c>
      <c r="E182" s="106" t="s">
        <v>280</v>
      </c>
      <c r="F182" s="120"/>
      <c r="G182" s="120"/>
      <c r="H182" s="120"/>
      <c r="I182" s="120"/>
      <c r="J182" s="116">
        <f t="shared" si="18"/>
        <v>0</v>
      </c>
      <c r="K182" s="120"/>
      <c r="L182" s="120"/>
      <c r="M182" s="120"/>
      <c r="N182" s="120"/>
      <c r="O182" s="120"/>
      <c r="P182" s="116">
        <f t="shared" si="17"/>
        <v>0</v>
      </c>
      <c r="Q182" s="120"/>
      <c r="R182" s="120"/>
      <c r="S182" s="120"/>
      <c r="T182" s="120"/>
      <c r="U182" s="120"/>
      <c r="V182" s="120"/>
      <c r="W182" s="117"/>
      <c r="X182" s="117">
        <f t="shared" si="2"/>
        <v>0</v>
      </c>
      <c r="Y182" s="97"/>
    </row>
    <row r="183" spans="1:25" ht="15.75">
      <c r="A183" s="469"/>
      <c r="B183" s="469"/>
      <c r="C183" s="469"/>
      <c r="D183" s="106">
        <v>174</v>
      </c>
      <c r="E183" s="106" t="s">
        <v>281</v>
      </c>
      <c r="F183" s="120"/>
      <c r="G183" s="120"/>
      <c r="H183" s="120"/>
      <c r="I183" s="120"/>
      <c r="J183" s="116">
        <f t="shared" si="18"/>
        <v>0</v>
      </c>
      <c r="K183" s="120"/>
      <c r="L183" s="120"/>
      <c r="M183" s="120"/>
      <c r="N183" s="120"/>
      <c r="O183" s="120"/>
      <c r="P183" s="116">
        <f t="shared" si="17"/>
        <v>0</v>
      </c>
      <c r="Q183" s="120"/>
      <c r="R183" s="120"/>
      <c r="S183" s="122"/>
      <c r="T183" s="122"/>
      <c r="U183" s="120"/>
      <c r="V183" s="120"/>
      <c r="W183" s="117"/>
      <c r="X183" s="117">
        <f t="shared" si="2"/>
        <v>0</v>
      </c>
      <c r="Y183" s="97"/>
    </row>
    <row r="184" spans="1:25" ht="189">
      <c r="A184" s="469"/>
      <c r="B184" s="476" t="s">
        <v>282</v>
      </c>
      <c r="C184" s="476" t="s">
        <v>230</v>
      </c>
      <c r="D184" s="106">
        <v>175</v>
      </c>
      <c r="E184" s="106" t="s">
        <v>231</v>
      </c>
      <c r="F184" s="167"/>
      <c r="G184" s="167"/>
      <c r="H184" s="167"/>
      <c r="I184" s="167"/>
      <c r="J184" s="116">
        <f t="shared" si="18"/>
        <v>0</v>
      </c>
      <c r="K184" s="168"/>
      <c r="L184" s="168"/>
      <c r="M184" s="167"/>
      <c r="N184" s="167"/>
      <c r="O184" s="167"/>
      <c r="P184" s="116">
        <f t="shared" si="17"/>
        <v>0</v>
      </c>
      <c r="Q184" s="167"/>
      <c r="R184" s="167"/>
      <c r="S184" s="168"/>
      <c r="T184" s="168">
        <v>63.88</v>
      </c>
      <c r="U184" s="168"/>
      <c r="V184" s="168"/>
      <c r="W184" s="117"/>
      <c r="X184" s="117">
        <f t="shared" si="2"/>
        <v>63.88</v>
      </c>
      <c r="Y184" s="97" t="s">
        <v>691</v>
      </c>
    </row>
    <row r="185" spans="1:25" ht="409.5">
      <c r="A185" s="469"/>
      <c r="B185" s="469"/>
      <c r="C185" s="469"/>
      <c r="D185" s="106">
        <v>176</v>
      </c>
      <c r="E185" s="106" t="s">
        <v>232</v>
      </c>
      <c r="F185" s="120"/>
      <c r="G185" s="120"/>
      <c r="H185" s="120"/>
      <c r="I185" s="120"/>
      <c r="J185" s="116">
        <f t="shared" si="18"/>
        <v>0</v>
      </c>
      <c r="K185" s="120"/>
      <c r="L185" s="120"/>
      <c r="M185" s="120"/>
      <c r="N185" s="120"/>
      <c r="O185" s="120"/>
      <c r="P185" s="116">
        <f t="shared" si="17"/>
        <v>0</v>
      </c>
      <c r="Q185" s="121"/>
      <c r="R185" s="121">
        <v>9</v>
      </c>
      <c r="S185" s="121"/>
      <c r="T185" s="121">
        <v>17.61</v>
      </c>
      <c r="U185" s="120"/>
      <c r="V185" s="120"/>
      <c r="W185" s="117"/>
      <c r="X185" s="117">
        <f t="shared" si="2"/>
        <v>26.61</v>
      </c>
      <c r="Y185" s="249" t="s">
        <v>692</v>
      </c>
    </row>
    <row r="186" spans="1:25" ht="29.25" hidden="1" customHeight="1">
      <c r="A186" s="469"/>
      <c r="B186" s="469"/>
      <c r="C186" s="469"/>
      <c r="D186" s="106">
        <v>177</v>
      </c>
      <c r="E186" s="106" t="s">
        <v>233</v>
      </c>
      <c r="F186" s="120"/>
      <c r="G186" s="120"/>
      <c r="H186" s="120"/>
      <c r="I186" s="120"/>
      <c r="J186" s="116">
        <f t="shared" si="18"/>
        <v>0</v>
      </c>
      <c r="K186" s="120"/>
      <c r="L186" s="120"/>
      <c r="M186" s="120"/>
      <c r="N186" s="120"/>
      <c r="O186" s="120"/>
      <c r="P186" s="116">
        <f t="shared" si="17"/>
        <v>0</v>
      </c>
      <c r="Q186" s="120"/>
      <c r="R186" s="120"/>
      <c r="S186" s="120"/>
      <c r="T186" s="120"/>
      <c r="U186" s="120"/>
      <c r="V186" s="120"/>
      <c r="W186" s="117"/>
      <c r="X186" s="117">
        <f t="shared" si="2"/>
        <v>0</v>
      </c>
      <c r="Y186" s="135"/>
    </row>
    <row r="187" spans="1:25" ht="15.75">
      <c r="A187" s="469"/>
      <c r="B187" s="476" t="s">
        <v>283</v>
      </c>
      <c r="C187" s="476" t="s">
        <v>284</v>
      </c>
      <c r="D187" s="106">
        <v>178</v>
      </c>
      <c r="E187" s="106"/>
      <c r="F187" s="120"/>
      <c r="G187" s="120"/>
      <c r="H187" s="120"/>
      <c r="I187" s="120"/>
      <c r="J187" s="116">
        <f t="shared" si="18"/>
        <v>0</v>
      </c>
      <c r="K187" s="120"/>
      <c r="L187" s="120"/>
      <c r="M187" s="120"/>
      <c r="N187" s="120"/>
      <c r="O187" s="120"/>
      <c r="P187" s="116">
        <f t="shared" si="17"/>
        <v>0</v>
      </c>
      <c r="Q187" s="120"/>
      <c r="R187" s="120"/>
      <c r="S187" s="120"/>
      <c r="T187" s="120"/>
      <c r="U187" s="120"/>
      <c r="V187" s="120"/>
      <c r="W187" s="117"/>
      <c r="X187" s="117">
        <f t="shared" si="2"/>
        <v>0</v>
      </c>
      <c r="Y187" s="245"/>
    </row>
    <row r="188" spans="1:25" ht="15.75">
      <c r="A188" s="469"/>
      <c r="B188" s="469"/>
      <c r="C188" s="469"/>
      <c r="D188" s="106">
        <v>179</v>
      </c>
      <c r="E188" s="106" t="s">
        <v>125</v>
      </c>
      <c r="F188" s="120"/>
      <c r="G188" s="120"/>
      <c r="H188" s="120"/>
      <c r="I188" s="120"/>
      <c r="J188" s="116">
        <f t="shared" si="18"/>
        <v>0</v>
      </c>
      <c r="K188" s="120"/>
      <c r="L188" s="120"/>
      <c r="M188" s="120"/>
      <c r="N188" s="120"/>
      <c r="O188" s="120"/>
      <c r="P188" s="116">
        <f t="shared" si="17"/>
        <v>0</v>
      </c>
      <c r="Q188" s="120"/>
      <c r="R188" s="120"/>
      <c r="S188" s="120"/>
      <c r="T188" s="120"/>
      <c r="U188" s="120"/>
      <c r="V188" s="120"/>
      <c r="W188" s="117"/>
      <c r="X188" s="117">
        <f t="shared" si="2"/>
        <v>0</v>
      </c>
      <c r="Y188" s="252"/>
    </row>
    <row r="189" spans="1:25" ht="31.5">
      <c r="A189" s="469"/>
      <c r="B189" s="469"/>
      <c r="C189" s="469"/>
      <c r="D189" s="106">
        <v>180</v>
      </c>
      <c r="E189" s="106" t="s">
        <v>286</v>
      </c>
      <c r="F189" s="120"/>
      <c r="G189" s="120"/>
      <c r="H189" s="120"/>
      <c r="I189" s="120"/>
      <c r="J189" s="116">
        <f t="shared" si="18"/>
        <v>0</v>
      </c>
      <c r="K189" s="120"/>
      <c r="L189" s="120"/>
      <c r="M189" s="120"/>
      <c r="N189" s="120"/>
      <c r="O189" s="122"/>
      <c r="P189" s="117">
        <f t="shared" si="17"/>
        <v>0</v>
      </c>
      <c r="Q189" s="120"/>
      <c r="R189" s="120"/>
      <c r="S189" s="121"/>
      <c r="T189" s="121"/>
      <c r="U189" s="120"/>
      <c r="V189" s="120"/>
      <c r="W189" s="117"/>
      <c r="X189" s="117">
        <f t="shared" si="2"/>
        <v>0</v>
      </c>
      <c r="Y189" s="252"/>
    </row>
    <row r="190" spans="1:25" ht="31.5">
      <c r="A190" s="469"/>
      <c r="B190" s="469"/>
      <c r="C190" s="469"/>
      <c r="D190" s="106">
        <v>181</v>
      </c>
      <c r="E190" s="106" t="s">
        <v>287</v>
      </c>
      <c r="F190" s="120"/>
      <c r="G190" s="120"/>
      <c r="H190" s="120"/>
      <c r="I190" s="120"/>
      <c r="J190" s="116">
        <f t="shared" si="18"/>
        <v>0</v>
      </c>
      <c r="K190" s="120"/>
      <c r="L190" s="120"/>
      <c r="M190" s="120"/>
      <c r="N190" s="120"/>
      <c r="O190" s="120"/>
      <c r="P190" s="116">
        <f t="shared" si="17"/>
        <v>0</v>
      </c>
      <c r="Q190" s="120"/>
      <c r="R190" s="120"/>
      <c r="S190" s="120"/>
      <c r="T190" s="120"/>
      <c r="U190" s="120"/>
      <c r="V190" s="120"/>
      <c r="W190" s="117"/>
      <c r="X190" s="117">
        <f t="shared" si="2"/>
        <v>0</v>
      </c>
      <c r="Y190" s="252"/>
    </row>
    <row r="191" spans="1:25" ht="53.25" customHeight="1">
      <c r="A191" s="469"/>
      <c r="B191" s="469"/>
      <c r="C191" s="469"/>
      <c r="D191" s="106">
        <v>182</v>
      </c>
      <c r="E191" s="106" t="s">
        <v>288</v>
      </c>
      <c r="F191" s="120"/>
      <c r="G191" s="120"/>
      <c r="H191" s="120"/>
      <c r="I191" s="120"/>
      <c r="J191" s="116">
        <f t="shared" si="18"/>
        <v>0</v>
      </c>
      <c r="K191" s="120"/>
      <c r="L191" s="120"/>
      <c r="M191" s="120"/>
      <c r="N191" s="120"/>
      <c r="O191" s="120"/>
      <c r="P191" s="116">
        <f t="shared" si="17"/>
        <v>0</v>
      </c>
      <c r="Q191" s="120"/>
      <c r="R191" s="120"/>
      <c r="S191" s="122"/>
      <c r="T191" s="122">
        <f>0.4*12</f>
        <v>4.8000000000000007</v>
      </c>
      <c r="U191" s="120"/>
      <c r="V191" s="120"/>
      <c r="W191" s="117"/>
      <c r="X191" s="117">
        <f t="shared" si="2"/>
        <v>4.8000000000000007</v>
      </c>
      <c r="Y191" s="224" t="s">
        <v>665</v>
      </c>
    </row>
    <row r="192" spans="1:25" ht="63" hidden="1">
      <c r="A192" s="469"/>
      <c r="B192" s="469"/>
      <c r="C192" s="469"/>
      <c r="D192" s="106">
        <v>183</v>
      </c>
      <c r="E192" s="106" t="s">
        <v>289</v>
      </c>
      <c r="F192" s="120"/>
      <c r="G192" s="120"/>
      <c r="H192" s="120"/>
      <c r="I192" s="120"/>
      <c r="J192" s="116">
        <f t="shared" si="18"/>
        <v>0</v>
      </c>
      <c r="K192" s="120"/>
      <c r="L192" s="120"/>
      <c r="M192" s="120"/>
      <c r="N192" s="120"/>
      <c r="O192" s="120"/>
      <c r="P192" s="116">
        <f t="shared" si="17"/>
        <v>0</v>
      </c>
      <c r="Q192" s="120"/>
      <c r="R192" s="120"/>
      <c r="S192" s="121"/>
      <c r="T192" s="121"/>
      <c r="U192" s="120"/>
      <c r="V192" s="120"/>
      <c r="W192" s="117"/>
      <c r="X192" s="117">
        <f t="shared" si="2"/>
        <v>0</v>
      </c>
      <c r="Y192" s="252"/>
    </row>
    <row r="193" spans="1:25" ht="47.25">
      <c r="A193" s="469"/>
      <c r="B193" s="106" t="s">
        <v>290</v>
      </c>
      <c r="C193" s="106" t="s">
        <v>291</v>
      </c>
      <c r="D193" s="106">
        <v>184</v>
      </c>
      <c r="E193" s="106" t="s">
        <v>292</v>
      </c>
      <c r="F193" s="120"/>
      <c r="G193" s="120"/>
      <c r="H193" s="120"/>
      <c r="I193" s="120"/>
      <c r="J193" s="116">
        <f t="shared" si="18"/>
        <v>0</v>
      </c>
      <c r="K193" s="120"/>
      <c r="L193" s="120"/>
      <c r="M193" s="120"/>
      <c r="N193" s="120"/>
      <c r="O193" s="120"/>
      <c r="P193" s="116">
        <f t="shared" si="17"/>
        <v>0</v>
      </c>
      <c r="Q193" s="120"/>
      <c r="R193" s="120"/>
      <c r="S193" s="122"/>
      <c r="T193" s="122"/>
      <c r="U193" s="120"/>
      <c r="V193" s="120"/>
      <c r="W193" s="117"/>
      <c r="X193" s="117">
        <f t="shared" si="2"/>
        <v>0</v>
      </c>
      <c r="Y193" s="252"/>
    </row>
    <row r="194" spans="1:25" ht="48" customHeight="1">
      <c r="A194" s="469"/>
      <c r="B194" s="476" t="s">
        <v>293</v>
      </c>
      <c r="C194" s="476" t="s">
        <v>235</v>
      </c>
      <c r="D194" s="106">
        <v>185</v>
      </c>
      <c r="E194" s="106" t="s">
        <v>236</v>
      </c>
      <c r="F194" s="120"/>
      <c r="G194" s="120"/>
      <c r="H194" s="120"/>
      <c r="I194" s="120"/>
      <c r="J194" s="116">
        <f t="shared" si="18"/>
        <v>0</v>
      </c>
      <c r="K194" s="120"/>
      <c r="L194" s="120"/>
      <c r="M194" s="120"/>
      <c r="N194" s="120"/>
      <c r="O194" s="120"/>
      <c r="P194" s="116">
        <f t="shared" si="17"/>
        <v>0</v>
      </c>
      <c r="Q194" s="120"/>
      <c r="R194" s="120"/>
      <c r="S194" s="120"/>
      <c r="T194" s="120">
        <v>2913.6153999999997</v>
      </c>
      <c r="U194" s="120"/>
      <c r="V194" s="120"/>
      <c r="W194" s="117"/>
      <c r="X194" s="117">
        <f t="shared" si="2"/>
        <v>2913.6153999999997</v>
      </c>
      <c r="Y194" s="98" t="s">
        <v>992</v>
      </c>
    </row>
    <row r="195" spans="1:25" ht="393.75">
      <c r="A195" s="469"/>
      <c r="B195" s="469"/>
      <c r="C195" s="469"/>
      <c r="D195" s="106">
        <v>186</v>
      </c>
      <c r="E195" s="106" t="s">
        <v>237</v>
      </c>
      <c r="F195" s="120">
        <v>0.1275</v>
      </c>
      <c r="G195" s="120"/>
      <c r="H195" s="120"/>
      <c r="I195" s="120"/>
      <c r="J195" s="116">
        <f t="shared" si="18"/>
        <v>0</v>
      </c>
      <c r="K195" s="120"/>
      <c r="L195" s="120"/>
      <c r="M195" s="120"/>
      <c r="N195" s="120"/>
      <c r="O195" s="120"/>
      <c r="P195" s="116">
        <f t="shared" si="17"/>
        <v>0</v>
      </c>
      <c r="Q195" s="120"/>
      <c r="R195" s="120"/>
      <c r="S195" s="121"/>
      <c r="T195" s="121">
        <f>5.6+42.568</f>
        <v>48.167999999999999</v>
      </c>
      <c r="U195" s="120"/>
      <c r="V195" s="120"/>
      <c r="W195" s="117"/>
      <c r="X195" s="117">
        <f t="shared" si="2"/>
        <v>48.295499999999997</v>
      </c>
      <c r="Y195" s="97" t="s">
        <v>971</v>
      </c>
    </row>
    <row r="196" spans="1:25" ht="31.5">
      <c r="A196" s="469"/>
      <c r="B196" s="469"/>
      <c r="C196" s="469"/>
      <c r="D196" s="106">
        <v>187</v>
      </c>
      <c r="E196" s="106" t="s">
        <v>294</v>
      </c>
      <c r="F196" s="120"/>
      <c r="G196" s="120"/>
      <c r="H196" s="120"/>
      <c r="I196" s="120"/>
      <c r="J196" s="116">
        <f t="shared" si="18"/>
        <v>0</v>
      </c>
      <c r="K196" s="120"/>
      <c r="L196" s="120"/>
      <c r="M196" s="120"/>
      <c r="N196" s="120"/>
      <c r="O196" s="120"/>
      <c r="P196" s="116">
        <f t="shared" si="17"/>
        <v>0</v>
      </c>
      <c r="Q196" s="120"/>
      <c r="R196" s="120"/>
      <c r="S196" s="120"/>
      <c r="T196" s="120">
        <v>1275.9390000000001</v>
      </c>
      <c r="U196" s="120">
        <v>0</v>
      </c>
      <c r="V196" s="120"/>
      <c r="W196" s="117"/>
      <c r="X196" s="117">
        <f t="shared" si="2"/>
        <v>1275.9390000000001</v>
      </c>
      <c r="Y196" s="98" t="s">
        <v>993</v>
      </c>
    </row>
    <row r="197" spans="1:25" ht="15.75">
      <c r="A197" s="469"/>
      <c r="B197" s="469"/>
      <c r="C197" s="469"/>
      <c r="D197" s="106">
        <v>188</v>
      </c>
      <c r="E197" s="106" t="s">
        <v>238</v>
      </c>
      <c r="F197" s="120"/>
      <c r="G197" s="120"/>
      <c r="H197" s="120"/>
      <c r="I197" s="120"/>
      <c r="J197" s="116">
        <f t="shared" si="18"/>
        <v>0</v>
      </c>
      <c r="K197" s="120"/>
      <c r="L197" s="120"/>
      <c r="M197" s="120"/>
      <c r="N197" s="120"/>
      <c r="O197" s="120"/>
      <c r="P197" s="116">
        <f t="shared" si="17"/>
        <v>0</v>
      </c>
      <c r="Q197" s="120"/>
      <c r="R197" s="120"/>
      <c r="S197" s="120"/>
      <c r="T197" s="120"/>
      <c r="U197" s="120"/>
      <c r="V197" s="120"/>
      <c r="W197" s="117"/>
      <c r="X197" s="117">
        <f t="shared" si="2"/>
        <v>0</v>
      </c>
      <c r="Y197" s="97"/>
    </row>
    <row r="198" spans="1:25" ht="47.25">
      <c r="A198" s="469"/>
      <c r="B198" s="469"/>
      <c r="C198" s="469"/>
      <c r="D198" s="106">
        <v>189</v>
      </c>
      <c r="E198" s="106" t="s">
        <v>295</v>
      </c>
      <c r="F198" s="120"/>
      <c r="G198" s="120"/>
      <c r="H198" s="120"/>
      <c r="I198" s="120"/>
      <c r="J198" s="116">
        <f t="shared" si="18"/>
        <v>0</v>
      </c>
      <c r="K198" s="120"/>
      <c r="L198" s="120"/>
      <c r="M198" s="120"/>
      <c r="N198" s="120"/>
      <c r="O198" s="120"/>
      <c r="P198" s="116">
        <f t="shared" si="17"/>
        <v>0</v>
      </c>
      <c r="Q198" s="120"/>
      <c r="R198" s="120"/>
      <c r="S198" s="120"/>
      <c r="T198" s="120"/>
      <c r="U198" s="120"/>
      <c r="V198" s="120"/>
      <c r="W198" s="117"/>
      <c r="X198" s="117">
        <f t="shared" si="2"/>
        <v>0</v>
      </c>
      <c r="Y198" s="97"/>
    </row>
    <row r="199" spans="1:25" ht="47.25" hidden="1">
      <c r="A199" s="469"/>
      <c r="B199" s="469"/>
      <c r="C199" s="469"/>
      <c r="D199" s="106">
        <v>190</v>
      </c>
      <c r="E199" s="106" t="s">
        <v>296</v>
      </c>
      <c r="F199" s="120"/>
      <c r="G199" s="120"/>
      <c r="H199" s="120"/>
      <c r="I199" s="120"/>
      <c r="J199" s="116">
        <f t="shared" si="18"/>
        <v>0</v>
      </c>
      <c r="K199" s="120"/>
      <c r="L199" s="120"/>
      <c r="M199" s="120"/>
      <c r="N199" s="120"/>
      <c r="O199" s="120"/>
      <c r="P199" s="116">
        <f t="shared" si="17"/>
        <v>0</v>
      </c>
      <c r="Q199" s="120"/>
      <c r="R199" s="120"/>
      <c r="S199" s="121"/>
      <c r="T199" s="121"/>
      <c r="U199" s="120"/>
      <c r="V199" s="120"/>
      <c r="W199" s="117"/>
      <c r="X199" s="117">
        <f t="shared" si="2"/>
        <v>0</v>
      </c>
      <c r="Y199" s="97"/>
    </row>
    <row r="200" spans="1:25" ht="31.5">
      <c r="A200" s="469"/>
      <c r="B200" s="476" t="s">
        <v>297</v>
      </c>
      <c r="C200" s="476" t="s">
        <v>298</v>
      </c>
      <c r="D200" s="106">
        <v>191</v>
      </c>
      <c r="E200" s="106" t="s">
        <v>299</v>
      </c>
      <c r="F200" s="120"/>
      <c r="G200" s="120"/>
      <c r="H200" s="120"/>
      <c r="I200" s="120"/>
      <c r="J200" s="116">
        <f t="shared" si="18"/>
        <v>0</v>
      </c>
      <c r="K200" s="120"/>
      <c r="L200" s="120"/>
      <c r="M200" s="120"/>
      <c r="N200" s="120"/>
      <c r="O200" s="120"/>
      <c r="P200" s="116">
        <f t="shared" si="17"/>
        <v>0</v>
      </c>
      <c r="Q200" s="120"/>
      <c r="R200" s="120"/>
      <c r="S200" s="120"/>
      <c r="T200" s="120"/>
      <c r="U200" s="120"/>
      <c r="V200" s="120"/>
      <c r="W200" s="117"/>
      <c r="X200" s="117">
        <f t="shared" si="2"/>
        <v>0</v>
      </c>
      <c r="Y200" s="135"/>
    </row>
    <row r="201" spans="1:25" ht="31.5">
      <c r="A201" s="469"/>
      <c r="B201" s="469"/>
      <c r="C201" s="469"/>
      <c r="D201" s="106">
        <v>192</v>
      </c>
      <c r="E201" s="106" t="s">
        <v>300</v>
      </c>
      <c r="F201" s="120"/>
      <c r="G201" s="120"/>
      <c r="H201" s="120"/>
      <c r="I201" s="121"/>
      <c r="J201" s="125">
        <f t="shared" si="18"/>
        <v>0</v>
      </c>
      <c r="K201" s="120"/>
      <c r="L201" s="120"/>
      <c r="M201" s="120"/>
      <c r="N201" s="120"/>
      <c r="O201" s="120"/>
      <c r="P201" s="116">
        <f t="shared" si="17"/>
        <v>0</v>
      </c>
      <c r="Q201" s="120"/>
      <c r="R201" s="120"/>
      <c r="S201" s="122"/>
      <c r="T201" s="122"/>
      <c r="U201" s="120"/>
      <c r="V201" s="120"/>
      <c r="W201" s="117"/>
      <c r="X201" s="117">
        <f t="shared" si="2"/>
        <v>0</v>
      </c>
      <c r="Y201" s="135"/>
    </row>
    <row r="202" spans="1:25" ht="31.5">
      <c r="A202" s="469"/>
      <c r="B202" s="476" t="s">
        <v>301</v>
      </c>
      <c r="C202" s="476" t="s">
        <v>241</v>
      </c>
      <c r="D202" s="106">
        <v>193</v>
      </c>
      <c r="E202" s="106" t="s">
        <v>302</v>
      </c>
      <c r="F202" s="120"/>
      <c r="G202" s="120"/>
      <c r="H202" s="120"/>
      <c r="I202" s="120"/>
      <c r="J202" s="116">
        <f t="shared" si="18"/>
        <v>0</v>
      </c>
      <c r="K202" s="120"/>
      <c r="L202" s="120"/>
      <c r="M202" s="120"/>
      <c r="N202" s="120"/>
      <c r="O202" s="120"/>
      <c r="P202" s="116">
        <f t="shared" si="17"/>
        <v>0</v>
      </c>
      <c r="Q202" s="120"/>
      <c r="R202" s="120"/>
      <c r="S202" s="122"/>
      <c r="T202" s="122"/>
      <c r="U202" s="121"/>
      <c r="V202" s="121"/>
      <c r="W202" s="117"/>
      <c r="X202" s="117">
        <f t="shared" si="2"/>
        <v>0</v>
      </c>
      <c r="Y202" s="97"/>
    </row>
    <row r="203" spans="1:25" ht="31.5">
      <c r="A203" s="469"/>
      <c r="B203" s="469"/>
      <c r="C203" s="469"/>
      <c r="D203" s="106">
        <v>194</v>
      </c>
      <c r="E203" s="106" t="s">
        <v>242</v>
      </c>
      <c r="F203" s="120"/>
      <c r="G203" s="120"/>
      <c r="H203" s="120"/>
      <c r="I203" s="120"/>
      <c r="J203" s="116">
        <f t="shared" si="18"/>
        <v>0</v>
      </c>
      <c r="K203" s="120"/>
      <c r="L203" s="120"/>
      <c r="M203" s="120"/>
      <c r="N203" s="120"/>
      <c r="O203" s="120"/>
      <c r="P203" s="116">
        <f t="shared" si="17"/>
        <v>0</v>
      </c>
      <c r="Q203" s="120"/>
      <c r="R203" s="120"/>
      <c r="S203" s="120"/>
      <c r="T203" s="120">
        <v>82.48</v>
      </c>
      <c r="U203" s="120"/>
      <c r="V203" s="120"/>
      <c r="W203" s="117"/>
      <c r="X203" s="117">
        <f t="shared" si="2"/>
        <v>82.48</v>
      </c>
      <c r="Y203" s="97"/>
    </row>
    <row r="204" spans="1:25" ht="47.25">
      <c r="A204" s="469"/>
      <c r="B204" s="476" t="s">
        <v>303</v>
      </c>
      <c r="C204" s="476" t="s">
        <v>304</v>
      </c>
      <c r="D204" s="106">
        <v>195</v>
      </c>
      <c r="E204" s="106" t="s">
        <v>305</v>
      </c>
      <c r="F204" s="120"/>
      <c r="G204" s="120"/>
      <c r="H204" s="120"/>
      <c r="I204" s="120"/>
      <c r="J204" s="116">
        <f t="shared" si="18"/>
        <v>0</v>
      </c>
      <c r="K204" s="120"/>
      <c r="L204" s="120"/>
      <c r="M204" s="120"/>
      <c r="N204" s="120"/>
      <c r="O204" s="120"/>
      <c r="P204" s="116">
        <f t="shared" si="17"/>
        <v>0</v>
      </c>
      <c r="Q204" s="120"/>
      <c r="R204" s="120"/>
      <c r="S204" s="122"/>
      <c r="T204" s="122"/>
      <c r="U204" s="120"/>
      <c r="V204" s="120"/>
      <c r="W204" s="117"/>
      <c r="X204" s="117">
        <f t="shared" si="2"/>
        <v>0</v>
      </c>
      <c r="Y204" s="97"/>
    </row>
    <row r="205" spans="1:25" ht="31.5">
      <c r="A205" s="469"/>
      <c r="B205" s="469"/>
      <c r="C205" s="469"/>
      <c r="D205" s="106">
        <v>196</v>
      </c>
      <c r="E205" s="106" t="s">
        <v>306</v>
      </c>
      <c r="F205" s="120"/>
      <c r="G205" s="120"/>
      <c r="H205" s="120"/>
      <c r="I205" s="120"/>
      <c r="J205" s="116">
        <f t="shared" si="18"/>
        <v>0</v>
      </c>
      <c r="K205" s="120"/>
      <c r="L205" s="120"/>
      <c r="M205" s="120"/>
      <c r="N205" s="120"/>
      <c r="O205" s="120"/>
      <c r="P205" s="116">
        <f t="shared" si="17"/>
        <v>0</v>
      </c>
      <c r="Q205" s="120"/>
      <c r="R205" s="120"/>
      <c r="S205" s="120"/>
      <c r="T205" s="120"/>
      <c r="U205" s="120"/>
      <c r="V205" s="120"/>
      <c r="W205" s="117"/>
      <c r="X205" s="117">
        <f t="shared" si="2"/>
        <v>0</v>
      </c>
      <c r="Y205" s="97"/>
    </row>
    <row r="206" spans="1:25" ht="31.5">
      <c r="A206" s="469"/>
      <c r="B206" s="469"/>
      <c r="C206" s="469"/>
      <c r="D206" s="106">
        <v>197</v>
      </c>
      <c r="E206" s="106" t="s">
        <v>307</v>
      </c>
      <c r="F206" s="135"/>
      <c r="G206" s="135"/>
      <c r="H206" s="135"/>
      <c r="I206" s="135"/>
      <c r="J206" s="116">
        <f t="shared" si="18"/>
        <v>0</v>
      </c>
      <c r="K206" s="135"/>
      <c r="L206" s="135"/>
      <c r="M206" s="135"/>
      <c r="N206" s="135"/>
      <c r="O206" s="135"/>
      <c r="P206" s="116">
        <f t="shared" si="17"/>
        <v>0</v>
      </c>
      <c r="Q206" s="135"/>
      <c r="R206" s="135"/>
      <c r="S206" s="170"/>
      <c r="T206" s="170"/>
      <c r="U206" s="129"/>
      <c r="V206" s="129"/>
      <c r="W206" s="171"/>
      <c r="X206" s="117">
        <f t="shared" si="2"/>
        <v>0</v>
      </c>
      <c r="Y206" s="97"/>
    </row>
    <row r="207" spans="1:25" ht="63">
      <c r="A207" s="469"/>
      <c r="B207" s="106" t="s">
        <v>308</v>
      </c>
      <c r="C207" s="106" t="s">
        <v>246</v>
      </c>
      <c r="D207" s="106">
        <v>198</v>
      </c>
      <c r="E207" s="106" t="s">
        <v>247</v>
      </c>
      <c r="F207" s="120"/>
      <c r="G207" s="120"/>
      <c r="H207" s="120"/>
      <c r="I207" s="120"/>
      <c r="J207" s="116">
        <f t="shared" si="18"/>
        <v>0</v>
      </c>
      <c r="K207" s="120"/>
      <c r="L207" s="120"/>
      <c r="M207" s="120"/>
      <c r="N207" s="120"/>
      <c r="O207" s="120"/>
      <c r="P207" s="116">
        <f t="shared" si="17"/>
        <v>0</v>
      </c>
      <c r="Q207" s="120"/>
      <c r="R207" s="120"/>
      <c r="S207" s="120"/>
      <c r="T207" s="120"/>
      <c r="U207" s="120"/>
      <c r="V207" s="120"/>
      <c r="W207" s="117"/>
      <c r="X207" s="117">
        <f t="shared" si="2"/>
        <v>0</v>
      </c>
      <c r="Y207" s="97"/>
    </row>
    <row r="208" spans="1:25" ht="31.5">
      <c r="A208" s="469"/>
      <c r="B208" s="106" t="s">
        <v>309</v>
      </c>
      <c r="C208" s="106" t="s">
        <v>249</v>
      </c>
      <c r="D208" s="106">
        <v>199</v>
      </c>
      <c r="E208" s="106" t="s">
        <v>250</v>
      </c>
      <c r="F208" s="151"/>
      <c r="G208" s="151"/>
      <c r="H208" s="151"/>
      <c r="I208" s="151"/>
      <c r="J208" s="116">
        <f t="shared" si="18"/>
        <v>0</v>
      </c>
      <c r="K208" s="151"/>
      <c r="L208" s="151"/>
      <c r="M208" s="151"/>
      <c r="N208" s="151"/>
      <c r="O208" s="151"/>
      <c r="P208" s="116">
        <f t="shared" si="17"/>
        <v>0</v>
      </c>
      <c r="Q208" s="151"/>
      <c r="R208" s="151"/>
      <c r="S208" s="151"/>
      <c r="T208" s="151">
        <v>110.65</v>
      </c>
      <c r="U208" s="151"/>
      <c r="V208" s="151"/>
      <c r="W208" s="117"/>
      <c r="X208" s="117">
        <f t="shared" si="2"/>
        <v>110.65</v>
      </c>
      <c r="Y208" s="98" t="s">
        <v>985</v>
      </c>
    </row>
    <row r="209" spans="1:25" ht="47.25">
      <c r="A209" s="469"/>
      <c r="B209" s="106" t="s">
        <v>310</v>
      </c>
      <c r="C209" s="172" t="s">
        <v>311</v>
      </c>
      <c r="D209" s="106">
        <v>200</v>
      </c>
      <c r="E209" s="106" t="s">
        <v>312</v>
      </c>
      <c r="F209" s="173"/>
      <c r="G209" s="173"/>
      <c r="H209" s="173"/>
      <c r="I209" s="173"/>
      <c r="J209" s="116">
        <f t="shared" si="18"/>
        <v>0</v>
      </c>
      <c r="K209" s="173"/>
      <c r="L209" s="173"/>
      <c r="M209" s="173"/>
      <c r="N209" s="173"/>
      <c r="O209" s="173"/>
      <c r="P209" s="116">
        <f t="shared" si="17"/>
        <v>0</v>
      </c>
      <c r="Q209" s="173"/>
      <c r="R209" s="173"/>
      <c r="S209" s="173"/>
      <c r="T209" s="173"/>
      <c r="U209" s="173"/>
      <c r="V209" s="173"/>
      <c r="W209" s="117"/>
      <c r="X209" s="117">
        <f t="shared" si="2"/>
        <v>0</v>
      </c>
      <c r="Y209" s="135"/>
    </row>
    <row r="210" spans="1:25" ht="63">
      <c r="A210" s="469"/>
      <c r="B210" s="174" t="s">
        <v>313</v>
      </c>
      <c r="C210" s="174" t="s">
        <v>314</v>
      </c>
      <c r="D210" s="175">
        <v>201</v>
      </c>
      <c r="E210" s="176" t="s">
        <v>315</v>
      </c>
      <c r="F210" s="173"/>
      <c r="G210" s="173"/>
      <c r="H210" s="173"/>
      <c r="I210" s="173"/>
      <c r="J210" s="116">
        <f t="shared" si="18"/>
        <v>0</v>
      </c>
      <c r="K210" s="173"/>
      <c r="L210" s="173"/>
      <c r="M210" s="173"/>
      <c r="N210" s="173"/>
      <c r="O210" s="173"/>
      <c r="P210" s="116">
        <f t="shared" si="17"/>
        <v>0</v>
      </c>
      <c r="Q210" s="173"/>
      <c r="R210" s="173"/>
      <c r="S210" s="173"/>
      <c r="T210" s="173">
        <v>41.6342</v>
      </c>
      <c r="U210" s="173"/>
      <c r="V210" s="173"/>
      <c r="W210" s="117"/>
      <c r="X210" s="117">
        <f t="shared" si="2"/>
        <v>41.6342</v>
      </c>
      <c r="Y210" s="173" t="s">
        <v>1162</v>
      </c>
    </row>
    <row r="211" spans="1:25" ht="47.25">
      <c r="A211" s="469"/>
      <c r="B211" s="174" t="s">
        <v>316</v>
      </c>
      <c r="C211" s="174" t="s">
        <v>317</v>
      </c>
      <c r="D211" s="175">
        <v>202</v>
      </c>
      <c r="E211" s="176" t="s">
        <v>318</v>
      </c>
      <c r="F211" s="173"/>
      <c r="G211" s="173"/>
      <c r="H211" s="173"/>
      <c r="I211" s="173"/>
      <c r="J211" s="116">
        <f t="shared" si="18"/>
        <v>0</v>
      </c>
      <c r="K211" s="173"/>
      <c r="L211" s="173"/>
      <c r="M211" s="173"/>
      <c r="N211" s="173"/>
      <c r="O211" s="173"/>
      <c r="P211" s="116">
        <f t="shared" si="17"/>
        <v>0</v>
      </c>
      <c r="Q211" s="173"/>
      <c r="R211" s="173"/>
      <c r="S211" s="173"/>
      <c r="T211" s="173">
        <v>1240.4072000000001</v>
      </c>
      <c r="U211" s="173"/>
      <c r="V211" s="173"/>
      <c r="W211" s="117"/>
      <c r="X211" s="117">
        <f t="shared" si="2"/>
        <v>1240.4072000000001</v>
      </c>
      <c r="Y211" s="173" t="s">
        <v>559</v>
      </c>
    </row>
    <row r="212" spans="1:25" ht="78.75">
      <c r="A212" s="469"/>
      <c r="B212" s="174" t="s">
        <v>319</v>
      </c>
      <c r="C212" s="174" t="s">
        <v>320</v>
      </c>
      <c r="D212" s="175">
        <v>203</v>
      </c>
      <c r="E212" s="176" t="s">
        <v>321</v>
      </c>
      <c r="F212" s="173"/>
      <c r="G212" s="173"/>
      <c r="H212" s="173"/>
      <c r="I212" s="173"/>
      <c r="J212" s="116">
        <f t="shared" si="18"/>
        <v>0</v>
      </c>
      <c r="K212" s="173"/>
      <c r="L212" s="173"/>
      <c r="M212" s="173"/>
      <c r="N212" s="173"/>
      <c r="O212" s="173"/>
      <c r="P212" s="116">
        <f t="shared" si="17"/>
        <v>0</v>
      </c>
      <c r="Q212" s="173"/>
      <c r="R212" s="173"/>
      <c r="S212" s="173"/>
      <c r="T212" s="173"/>
      <c r="U212" s="173"/>
      <c r="V212" s="173"/>
      <c r="W212" s="117"/>
      <c r="X212" s="117">
        <f t="shared" si="2"/>
        <v>0</v>
      </c>
      <c r="Y212" s="97"/>
    </row>
    <row r="213" spans="1:25" ht="49.5" customHeight="1">
      <c r="A213" s="469"/>
      <c r="B213" s="174" t="s">
        <v>322</v>
      </c>
      <c r="C213" s="174" t="s">
        <v>323</v>
      </c>
      <c r="D213" s="175">
        <v>204</v>
      </c>
      <c r="E213" s="176" t="s">
        <v>324</v>
      </c>
      <c r="F213" s="173"/>
      <c r="G213" s="173"/>
      <c r="H213" s="173"/>
      <c r="I213" s="173"/>
      <c r="J213" s="116">
        <f t="shared" si="18"/>
        <v>0</v>
      </c>
      <c r="K213" s="173"/>
      <c r="L213" s="173"/>
      <c r="M213" s="173"/>
      <c r="N213" s="173"/>
      <c r="O213" s="173"/>
      <c r="P213" s="116">
        <f t="shared" si="17"/>
        <v>0</v>
      </c>
      <c r="Q213" s="173"/>
      <c r="R213" s="173"/>
      <c r="S213" s="173"/>
      <c r="T213" s="371">
        <v>22.122199999999999</v>
      </c>
      <c r="U213" s="173"/>
      <c r="V213" s="173"/>
      <c r="W213" s="117"/>
      <c r="X213" s="178">
        <f t="shared" si="2"/>
        <v>22.122199999999999</v>
      </c>
      <c r="Y213" s="173" t="s">
        <v>676</v>
      </c>
    </row>
    <row r="214" spans="1:25" ht="47.25">
      <c r="A214" s="469"/>
      <c r="B214" s="174" t="s">
        <v>326</v>
      </c>
      <c r="C214" s="174" t="s">
        <v>291</v>
      </c>
      <c r="D214" s="175">
        <v>205</v>
      </c>
      <c r="E214" s="176" t="s">
        <v>327</v>
      </c>
      <c r="F214" s="173"/>
      <c r="G214" s="173"/>
      <c r="H214" s="173"/>
      <c r="I214" s="173"/>
      <c r="J214" s="116">
        <f t="shared" si="18"/>
        <v>0</v>
      </c>
      <c r="K214" s="173"/>
      <c r="L214" s="173"/>
      <c r="M214" s="173"/>
      <c r="N214" s="173"/>
      <c r="O214" s="173"/>
      <c r="P214" s="116">
        <f t="shared" si="17"/>
        <v>0</v>
      </c>
      <c r="Q214" s="173"/>
      <c r="R214" s="173"/>
      <c r="S214" s="173"/>
      <c r="T214" s="173"/>
      <c r="U214" s="173"/>
      <c r="V214" s="173"/>
      <c r="W214" s="117"/>
      <c r="X214" s="117">
        <f t="shared" si="2"/>
        <v>0</v>
      </c>
      <c r="Y214" s="173"/>
    </row>
    <row r="215" spans="1:25" ht="47.25">
      <c r="A215" s="469"/>
      <c r="B215" s="174" t="s">
        <v>329</v>
      </c>
      <c r="C215" s="174" t="s">
        <v>246</v>
      </c>
      <c r="D215" s="175">
        <v>206</v>
      </c>
      <c r="E215" s="176" t="s">
        <v>330</v>
      </c>
      <c r="F215" s="173"/>
      <c r="G215" s="173"/>
      <c r="H215" s="173"/>
      <c r="I215" s="173"/>
      <c r="J215" s="116">
        <f t="shared" si="18"/>
        <v>0</v>
      </c>
      <c r="K215" s="173"/>
      <c r="L215" s="173"/>
      <c r="M215" s="173"/>
      <c r="N215" s="173"/>
      <c r="O215" s="173"/>
      <c r="P215" s="116">
        <f t="shared" si="17"/>
        <v>0</v>
      </c>
      <c r="Q215" s="173"/>
      <c r="R215" s="173"/>
      <c r="S215" s="173"/>
      <c r="T215" s="121"/>
      <c r="U215" s="121"/>
      <c r="V215" s="121"/>
      <c r="W215" s="117"/>
      <c r="X215" s="117">
        <f t="shared" si="2"/>
        <v>0</v>
      </c>
      <c r="Y215" s="245"/>
    </row>
    <row r="216" spans="1:25" s="110" customFormat="1" ht="36" customHeight="1">
      <c r="A216" s="469"/>
      <c r="B216" s="478" t="s">
        <v>331</v>
      </c>
      <c r="C216" s="479"/>
      <c r="D216" s="479"/>
      <c r="E216" s="99"/>
      <c r="F216" s="100">
        <f t="shared" ref="F216:W216" si="19">SUM(F159:F215)</f>
        <v>0.1275</v>
      </c>
      <c r="G216" s="101">
        <f t="shared" si="19"/>
        <v>0</v>
      </c>
      <c r="H216" s="101">
        <f t="shared" si="19"/>
        <v>125</v>
      </c>
      <c r="I216" s="101">
        <f t="shared" si="19"/>
        <v>0</v>
      </c>
      <c r="J216" s="101">
        <f t="shared" si="19"/>
        <v>125</v>
      </c>
      <c r="K216" s="100">
        <f t="shared" si="19"/>
        <v>0</v>
      </c>
      <c r="L216" s="100">
        <f t="shared" si="19"/>
        <v>0</v>
      </c>
      <c r="M216" s="100">
        <f t="shared" si="19"/>
        <v>0</v>
      </c>
      <c r="N216" s="100">
        <f t="shared" si="19"/>
        <v>0</v>
      </c>
      <c r="O216" s="100">
        <f t="shared" si="19"/>
        <v>0</v>
      </c>
      <c r="P216" s="100">
        <f t="shared" si="19"/>
        <v>0</v>
      </c>
      <c r="Q216" s="100">
        <f t="shared" si="19"/>
        <v>0</v>
      </c>
      <c r="R216" s="100">
        <f t="shared" si="19"/>
        <v>9</v>
      </c>
      <c r="S216" s="101">
        <f t="shared" si="19"/>
        <v>0</v>
      </c>
      <c r="T216" s="101">
        <f t="shared" si="19"/>
        <v>5898.8259999999991</v>
      </c>
      <c r="U216" s="100">
        <f t="shared" si="19"/>
        <v>0</v>
      </c>
      <c r="V216" s="100">
        <f t="shared" si="19"/>
        <v>0</v>
      </c>
      <c r="W216" s="102">
        <f t="shared" si="19"/>
        <v>0</v>
      </c>
      <c r="X216" s="100">
        <f t="shared" si="2"/>
        <v>6032.9534999999987</v>
      </c>
      <c r="Y216" s="253"/>
    </row>
    <row r="217" spans="1:25" ht="29.25" customHeight="1">
      <c r="A217" s="480" t="s">
        <v>332</v>
      </c>
      <c r="B217" s="469"/>
      <c r="C217" s="469"/>
      <c r="D217" s="469"/>
      <c r="E217" s="103"/>
      <c r="F217" s="104">
        <f t="shared" ref="F217:W217" si="20">F216+F158+F134+F93+F68</f>
        <v>145.44913</v>
      </c>
      <c r="G217" s="105">
        <f t="shared" si="20"/>
        <v>0</v>
      </c>
      <c r="H217" s="105">
        <f t="shared" si="20"/>
        <v>125</v>
      </c>
      <c r="I217" s="105">
        <f t="shared" si="20"/>
        <v>10.65</v>
      </c>
      <c r="J217" s="105">
        <f t="shared" si="20"/>
        <v>135.65</v>
      </c>
      <c r="K217" s="104">
        <f t="shared" si="20"/>
        <v>0</v>
      </c>
      <c r="L217" s="104">
        <f t="shared" si="20"/>
        <v>23.106999999999999</v>
      </c>
      <c r="M217" s="104">
        <f t="shared" si="20"/>
        <v>0</v>
      </c>
      <c r="N217" s="104">
        <f t="shared" si="20"/>
        <v>0</v>
      </c>
      <c r="O217" s="104">
        <f t="shared" si="20"/>
        <v>105.084</v>
      </c>
      <c r="P217" s="104">
        <f t="shared" si="20"/>
        <v>105.084</v>
      </c>
      <c r="Q217" s="104">
        <f t="shared" si="20"/>
        <v>0</v>
      </c>
      <c r="R217" s="104">
        <f t="shared" si="20"/>
        <v>111.89750000000001</v>
      </c>
      <c r="S217" s="105">
        <f t="shared" si="20"/>
        <v>0</v>
      </c>
      <c r="T217" s="105">
        <f t="shared" si="20"/>
        <v>7688.7696500000002</v>
      </c>
      <c r="U217" s="104">
        <f t="shared" si="20"/>
        <v>0</v>
      </c>
      <c r="V217" s="104">
        <f t="shared" si="20"/>
        <v>4.9000000000000004</v>
      </c>
      <c r="W217" s="104">
        <f t="shared" si="20"/>
        <v>0</v>
      </c>
      <c r="X217" s="104">
        <f t="shared" si="2"/>
        <v>8214.8572800000002</v>
      </c>
      <c r="Y217" s="372"/>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9"/>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9"/>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9"/>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9"/>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sheetData>
  <autoFilter ref="A1:Z1000"/>
  <mergeCells count="98">
    <mergeCell ref="B216:D216"/>
    <mergeCell ref="A217:D217"/>
    <mergeCell ref="A159:A216"/>
    <mergeCell ref="C159:C162"/>
    <mergeCell ref="B173:B179"/>
    <mergeCell ref="C173:C179"/>
    <mergeCell ref="B180:B183"/>
    <mergeCell ref="C180:C183"/>
    <mergeCell ref="B184:B186"/>
    <mergeCell ref="C184:C186"/>
    <mergeCell ref="B187:B192"/>
    <mergeCell ref="C187:C192"/>
    <mergeCell ref="B194:B199"/>
    <mergeCell ref="C194:C199"/>
    <mergeCell ref="B200:B201"/>
    <mergeCell ref="C200:C201"/>
    <mergeCell ref="B202:B203"/>
    <mergeCell ref="C202:C203"/>
    <mergeCell ref="B204:B206"/>
    <mergeCell ref="C204:C206"/>
    <mergeCell ref="C135:C136"/>
    <mergeCell ref="C138:C144"/>
    <mergeCell ref="C145:C146"/>
    <mergeCell ref="C147:C149"/>
    <mergeCell ref="C150:C153"/>
    <mergeCell ref="B159:B162"/>
    <mergeCell ref="B163:B167"/>
    <mergeCell ref="C163:C167"/>
    <mergeCell ref="B168:B172"/>
    <mergeCell ref="C168:C172"/>
    <mergeCell ref="A135:A158"/>
    <mergeCell ref="B135:B136"/>
    <mergeCell ref="B138:B144"/>
    <mergeCell ref="B145:B146"/>
    <mergeCell ref="B147:B149"/>
    <mergeCell ref="B150:B153"/>
    <mergeCell ref="B158:D158"/>
    <mergeCell ref="A69:A93"/>
    <mergeCell ref="B70:B74"/>
    <mergeCell ref="C70:C74"/>
    <mergeCell ref="C75:C78"/>
    <mergeCell ref="A94:A134"/>
    <mergeCell ref="B114:B118"/>
    <mergeCell ref="C114:C118"/>
    <mergeCell ref="B119:B120"/>
    <mergeCell ref="C119:C120"/>
    <mergeCell ref="B122:B125"/>
    <mergeCell ref="C122:C125"/>
    <mergeCell ref="B128:B130"/>
    <mergeCell ref="C128:C130"/>
    <mergeCell ref="B131:B132"/>
    <mergeCell ref="C131:C132"/>
    <mergeCell ref="B134:D134"/>
    <mergeCell ref="B111:B113"/>
    <mergeCell ref="C111:C113"/>
    <mergeCell ref="B75:B78"/>
    <mergeCell ref="B94:B103"/>
    <mergeCell ref="B57:B66"/>
    <mergeCell ref="C57:C66"/>
    <mergeCell ref="C94:C103"/>
    <mergeCell ref="B104:B105"/>
    <mergeCell ref="C104:C105"/>
    <mergeCell ref="B106:B110"/>
    <mergeCell ref="C106:C110"/>
    <mergeCell ref="B79:B85"/>
    <mergeCell ref="C79:C85"/>
    <mergeCell ref="B86:B89"/>
    <mergeCell ref="C86:C89"/>
    <mergeCell ref="B93:D93"/>
    <mergeCell ref="B26:B36"/>
    <mergeCell ref="C26:C36"/>
    <mergeCell ref="F4:G4"/>
    <mergeCell ref="H4:K4"/>
    <mergeCell ref="A6:A68"/>
    <mergeCell ref="B6:B23"/>
    <mergeCell ref="C6:C23"/>
    <mergeCell ref="B24:B25"/>
    <mergeCell ref="C24:C25"/>
    <mergeCell ref="B68:D68"/>
    <mergeCell ref="B37:B39"/>
    <mergeCell ref="C37:C39"/>
    <mergeCell ref="B40:B46"/>
    <mergeCell ref="C40:C46"/>
    <mergeCell ref="B47:B56"/>
    <mergeCell ref="C47:C56"/>
    <mergeCell ref="E1:L1"/>
    <mergeCell ref="A4:A5"/>
    <mergeCell ref="B4:B5"/>
    <mergeCell ref="C4:C5"/>
    <mergeCell ref="D4:D5"/>
    <mergeCell ref="E4:E5"/>
    <mergeCell ref="L4:M4"/>
    <mergeCell ref="N4:Q4"/>
    <mergeCell ref="R4:S4"/>
    <mergeCell ref="T4:U4"/>
    <mergeCell ref="X3:Y3"/>
    <mergeCell ref="Y4:Y5"/>
    <mergeCell ref="V4:W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Y1000"/>
  <sheetViews>
    <sheetView workbookViewId="0">
      <pane xSplit="7" ySplit="5" topLeftCell="H200" activePane="bottomRight" state="frozen"/>
      <selection pane="topRight" activeCell="H1" sqref="H1"/>
      <selection pane="bottomLeft" activeCell="A6" sqref="A6"/>
      <selection pane="bottomRight" activeCell="O221" sqref="O221"/>
    </sheetView>
  </sheetViews>
  <sheetFormatPr defaultColWidth="14.42578125" defaultRowHeight="15" customHeight="1"/>
  <cols>
    <col min="1" max="1" width="6.140625" style="111" customWidth="1"/>
    <col min="2" max="2" width="7" style="111" customWidth="1"/>
    <col min="3" max="3" width="11.42578125" style="111" customWidth="1"/>
    <col min="4" max="4" width="8.140625" style="111" customWidth="1"/>
    <col min="5" max="5" width="16.85546875" style="111" customWidth="1"/>
    <col min="6" max="6" width="8.28515625" style="111" customWidth="1"/>
    <col min="7" max="7" width="9.85546875" style="111" hidden="1" customWidth="1"/>
    <col min="8" max="8" width="11.5703125" style="111" customWidth="1"/>
    <col min="9" max="9" width="7.5703125" style="111" customWidth="1"/>
    <col min="10" max="10" width="8.42578125" style="111" customWidth="1"/>
    <col min="11" max="11" width="8.42578125" style="111" hidden="1" customWidth="1"/>
    <col min="12" max="12" width="10.5703125" style="111" customWidth="1"/>
    <col min="13" max="13" width="17.140625" style="111" hidden="1" customWidth="1"/>
    <col min="14" max="14" width="5.7109375" style="111" customWidth="1"/>
    <col min="15" max="15" width="10.140625" style="111" customWidth="1"/>
    <col min="16" max="16" width="9.28515625" style="111" customWidth="1"/>
    <col min="17" max="17" width="10.7109375" style="111" hidden="1" customWidth="1"/>
    <col min="18" max="18" width="9.5703125" style="111" customWidth="1"/>
    <col min="19" max="19" width="15.42578125" style="111" hidden="1" customWidth="1"/>
    <col min="20" max="20" width="10.5703125" style="111" customWidth="1"/>
    <col min="21" max="21" width="12.85546875" style="111" hidden="1" customWidth="1"/>
    <col min="22" max="22" width="6.42578125" style="111" customWidth="1"/>
    <col min="23" max="23" width="5" style="111" hidden="1" customWidth="1"/>
    <col min="24" max="24" width="9.42578125" style="111" customWidth="1"/>
    <col min="25" max="25" width="41.140625" style="157" customWidth="1"/>
    <col min="26" max="16384" width="14.42578125" style="111"/>
  </cols>
  <sheetData>
    <row r="1" spans="1:25" ht="20.25" customHeight="1">
      <c r="A1" s="35"/>
      <c r="B1" s="36"/>
      <c r="C1" s="36"/>
      <c r="D1" s="36"/>
      <c r="E1" s="474" t="s">
        <v>558</v>
      </c>
      <c r="F1" s="475"/>
      <c r="G1" s="475"/>
      <c r="H1" s="475"/>
      <c r="I1" s="475"/>
      <c r="J1" s="475"/>
      <c r="K1" s="475"/>
      <c r="L1" s="475"/>
      <c r="M1" s="38"/>
      <c r="N1" s="38"/>
      <c r="O1" s="38"/>
      <c r="P1" s="38"/>
      <c r="Q1" s="38"/>
      <c r="R1" s="38"/>
      <c r="S1" s="38"/>
      <c r="T1" s="38"/>
      <c r="U1" s="38"/>
      <c r="V1" s="38"/>
      <c r="W1" s="38"/>
      <c r="X1" s="38"/>
      <c r="Y1" s="39"/>
    </row>
    <row r="2" spans="1:25" ht="10.5" customHeight="1">
      <c r="A2" s="38"/>
      <c r="B2" s="38"/>
      <c r="C2" s="38"/>
      <c r="D2" s="38"/>
      <c r="E2" s="38"/>
      <c r="F2" s="38">
        <v>1</v>
      </c>
      <c r="G2" s="38"/>
      <c r="H2" s="38">
        <v>2</v>
      </c>
      <c r="I2" s="38"/>
      <c r="J2" s="38"/>
      <c r="K2" s="38"/>
      <c r="L2" s="38">
        <v>3</v>
      </c>
      <c r="M2" s="38"/>
      <c r="N2" s="38"/>
      <c r="O2" s="38">
        <v>4</v>
      </c>
      <c r="P2" s="38"/>
      <c r="Q2" s="38"/>
      <c r="R2" s="38">
        <v>5</v>
      </c>
      <c r="S2" s="38"/>
      <c r="T2" s="38">
        <v>8</v>
      </c>
      <c r="U2" s="38"/>
      <c r="V2" s="38">
        <v>11</v>
      </c>
      <c r="W2" s="38"/>
      <c r="X2" s="38"/>
      <c r="Y2" s="39"/>
    </row>
    <row r="3" spans="1:25" ht="22.5" customHeight="1">
      <c r="A3" s="38"/>
      <c r="B3" s="112"/>
      <c r="C3" s="112"/>
      <c r="D3" s="112"/>
      <c r="E3" s="112" t="s">
        <v>383</v>
      </c>
      <c r="F3" s="112"/>
      <c r="G3" s="112"/>
      <c r="H3" s="112"/>
      <c r="I3" s="112"/>
      <c r="J3" s="112"/>
      <c r="K3" s="112"/>
      <c r="L3" s="112"/>
      <c r="M3" s="112"/>
      <c r="N3" s="112"/>
      <c r="O3" s="112"/>
      <c r="P3" s="112"/>
      <c r="Q3" s="112"/>
      <c r="R3" s="112"/>
      <c r="S3" s="112"/>
      <c r="T3" s="112"/>
      <c r="U3" s="112"/>
      <c r="V3" s="112"/>
      <c r="W3" s="113"/>
      <c r="X3" s="470" t="s">
        <v>2</v>
      </c>
      <c r="Y3" s="471"/>
    </row>
    <row r="4" spans="1:25" ht="26.25" customHeight="1">
      <c r="A4" s="468" t="s">
        <v>3</v>
      </c>
      <c r="B4" s="468" t="s">
        <v>4</v>
      </c>
      <c r="C4" s="468" t="s">
        <v>5</v>
      </c>
      <c r="D4" s="468" t="s">
        <v>6</v>
      </c>
      <c r="E4" s="468" t="s">
        <v>7</v>
      </c>
      <c r="F4" s="468" t="s">
        <v>8</v>
      </c>
      <c r="G4" s="469"/>
      <c r="H4" s="468" t="s">
        <v>9</v>
      </c>
      <c r="I4" s="469"/>
      <c r="J4" s="469"/>
      <c r="K4" s="469"/>
      <c r="L4" s="468" t="s">
        <v>10</v>
      </c>
      <c r="M4" s="469"/>
      <c r="N4" s="468" t="s">
        <v>11</v>
      </c>
      <c r="O4" s="469"/>
      <c r="P4" s="469"/>
      <c r="Q4" s="469"/>
      <c r="R4" s="468" t="s">
        <v>12</v>
      </c>
      <c r="S4" s="469"/>
      <c r="T4" s="468" t="s">
        <v>13</v>
      </c>
      <c r="U4" s="469"/>
      <c r="V4" s="468" t="s">
        <v>14</v>
      </c>
      <c r="W4" s="469"/>
      <c r="X4" s="114" t="s">
        <v>15</v>
      </c>
      <c r="Y4" s="468" t="s">
        <v>16</v>
      </c>
    </row>
    <row r="5" spans="1:25" ht="42" customHeight="1">
      <c r="A5" s="469"/>
      <c r="B5" s="469"/>
      <c r="C5" s="469"/>
      <c r="D5" s="469"/>
      <c r="E5" s="469"/>
      <c r="F5" s="114" t="s">
        <v>17</v>
      </c>
      <c r="G5" s="114" t="s">
        <v>16</v>
      </c>
      <c r="H5" s="114" t="s">
        <v>18</v>
      </c>
      <c r="I5" s="114" t="s">
        <v>19</v>
      </c>
      <c r="J5" s="114" t="s">
        <v>20</v>
      </c>
      <c r="K5" s="114" t="s">
        <v>16</v>
      </c>
      <c r="L5" s="114" t="s">
        <v>17</v>
      </c>
      <c r="M5" s="114" t="s">
        <v>16</v>
      </c>
      <c r="N5" s="114" t="s">
        <v>1199</v>
      </c>
      <c r="O5" s="114" t="s">
        <v>21</v>
      </c>
      <c r="P5" s="114" t="s">
        <v>22</v>
      </c>
      <c r="Q5" s="114" t="s">
        <v>16</v>
      </c>
      <c r="R5" s="114" t="s">
        <v>17</v>
      </c>
      <c r="S5" s="114" t="s">
        <v>16</v>
      </c>
      <c r="T5" s="114" t="s">
        <v>17</v>
      </c>
      <c r="U5" s="114" t="s">
        <v>16</v>
      </c>
      <c r="V5" s="114" t="s">
        <v>17</v>
      </c>
      <c r="W5" s="114" t="s">
        <v>16</v>
      </c>
      <c r="X5" s="114" t="s">
        <v>23</v>
      </c>
      <c r="Y5" s="481"/>
    </row>
    <row r="6" spans="1:25" ht="39" customHeight="1">
      <c r="A6" s="477" t="s">
        <v>24</v>
      </c>
      <c r="B6" s="476" t="s">
        <v>25</v>
      </c>
      <c r="C6" s="476" t="s">
        <v>26</v>
      </c>
      <c r="D6" s="106">
        <v>1</v>
      </c>
      <c r="E6" s="223" t="s">
        <v>27</v>
      </c>
      <c r="F6" s="116"/>
      <c r="G6" s="116"/>
      <c r="H6" s="116"/>
      <c r="I6" s="116"/>
      <c r="J6" s="116">
        <f t="shared" ref="J6:J67" si="0">H6+I6</f>
        <v>0</v>
      </c>
      <c r="K6" s="116"/>
      <c r="L6" s="116"/>
      <c r="M6" s="116"/>
      <c r="N6" s="116"/>
      <c r="O6" s="116"/>
      <c r="P6" s="116">
        <f t="shared" ref="P6:P67" si="1">N6+O6</f>
        <v>0</v>
      </c>
      <c r="Q6" s="116"/>
      <c r="R6" s="116"/>
      <c r="S6" s="116"/>
      <c r="T6" s="116"/>
      <c r="U6" s="116"/>
      <c r="V6" s="116"/>
      <c r="W6" s="117"/>
      <c r="X6" s="117">
        <f t="shared" ref="X6:X217" si="2">F6+J6+L6+P6+R6+T6+V6</f>
        <v>0</v>
      </c>
      <c r="Y6" s="97"/>
    </row>
    <row r="7" spans="1:25" ht="63">
      <c r="A7" s="469"/>
      <c r="B7" s="469"/>
      <c r="C7" s="469"/>
      <c r="D7" s="106">
        <v>2</v>
      </c>
      <c r="E7" s="115" t="s">
        <v>28</v>
      </c>
      <c r="F7" s="116"/>
      <c r="G7" s="116"/>
      <c r="H7" s="116"/>
      <c r="I7" s="116"/>
      <c r="J7" s="116">
        <f t="shared" si="0"/>
        <v>0</v>
      </c>
      <c r="K7" s="116"/>
      <c r="L7" s="116"/>
      <c r="M7" s="116"/>
      <c r="N7" s="116"/>
      <c r="O7" s="119"/>
      <c r="P7" s="117">
        <f t="shared" si="1"/>
        <v>0</v>
      </c>
      <c r="Q7" s="120"/>
      <c r="R7" s="120"/>
      <c r="S7" s="121"/>
      <c r="T7" s="121"/>
      <c r="U7" s="116"/>
      <c r="V7" s="116"/>
      <c r="W7" s="117"/>
      <c r="X7" s="117">
        <f t="shared" si="2"/>
        <v>0</v>
      </c>
      <c r="Y7" s="97"/>
    </row>
    <row r="8" spans="1:25" ht="189">
      <c r="A8" s="469"/>
      <c r="B8" s="469"/>
      <c r="C8" s="469"/>
      <c r="D8" s="106">
        <v>3</v>
      </c>
      <c r="E8" s="106" t="s">
        <v>29</v>
      </c>
      <c r="F8" s="121">
        <v>37.76182</v>
      </c>
      <c r="G8" s="120"/>
      <c r="H8" s="120"/>
      <c r="I8" s="120"/>
      <c r="J8" s="116">
        <f t="shared" si="0"/>
        <v>0</v>
      </c>
      <c r="K8" s="120"/>
      <c r="L8" s="120"/>
      <c r="M8" s="120"/>
      <c r="N8" s="120"/>
      <c r="O8" s="120"/>
      <c r="P8" s="116">
        <f t="shared" si="1"/>
        <v>0</v>
      </c>
      <c r="Q8" s="120"/>
      <c r="R8" s="120"/>
      <c r="S8" s="120"/>
      <c r="T8" s="120"/>
      <c r="U8" s="116"/>
      <c r="V8" s="116"/>
      <c r="W8" s="117"/>
      <c r="X8" s="117">
        <f t="shared" si="2"/>
        <v>37.76182</v>
      </c>
      <c r="Y8" s="97" t="s">
        <v>856</v>
      </c>
    </row>
    <row r="9" spans="1:25" ht="409.5">
      <c r="A9" s="469"/>
      <c r="B9" s="469"/>
      <c r="C9" s="469"/>
      <c r="D9" s="106">
        <v>4</v>
      </c>
      <c r="E9" s="106" t="s">
        <v>30</v>
      </c>
      <c r="F9" s="116"/>
      <c r="G9" s="116"/>
      <c r="H9" s="116"/>
      <c r="I9" s="116"/>
      <c r="J9" s="116">
        <f t="shared" si="0"/>
        <v>0</v>
      </c>
      <c r="K9" s="116"/>
      <c r="L9" s="116"/>
      <c r="M9" s="116"/>
      <c r="N9" s="116"/>
      <c r="O9" s="116">
        <v>47.093499999999999</v>
      </c>
      <c r="P9" s="116">
        <f t="shared" si="1"/>
        <v>47.093499999999999</v>
      </c>
      <c r="Q9" s="122"/>
      <c r="R9" s="122">
        <v>81.988</v>
      </c>
      <c r="S9" s="121"/>
      <c r="T9" s="121">
        <v>65.504800000000003</v>
      </c>
      <c r="U9" s="120"/>
      <c r="V9" s="120"/>
      <c r="W9" s="117"/>
      <c r="X9" s="117">
        <f t="shared" si="2"/>
        <v>194.58629999999999</v>
      </c>
      <c r="Y9" s="97" t="s">
        <v>857</v>
      </c>
    </row>
    <row r="10" spans="1:25" ht="63" customHeight="1">
      <c r="A10" s="469"/>
      <c r="B10" s="469"/>
      <c r="C10" s="469"/>
      <c r="D10" s="106">
        <v>5</v>
      </c>
      <c r="E10" s="106" t="s">
        <v>31</v>
      </c>
      <c r="F10" s="120"/>
      <c r="G10" s="120"/>
      <c r="H10" s="120"/>
      <c r="I10" s="120"/>
      <c r="J10" s="116">
        <f t="shared" si="0"/>
        <v>0</v>
      </c>
      <c r="K10" s="120"/>
      <c r="L10" s="120"/>
      <c r="M10" s="120"/>
      <c r="N10" s="120"/>
      <c r="O10" s="302"/>
      <c r="P10" s="116">
        <f t="shared" si="1"/>
        <v>0</v>
      </c>
      <c r="Q10" s="120"/>
      <c r="R10" s="302"/>
      <c r="S10" s="122"/>
      <c r="T10" s="122">
        <v>38.962000000000003</v>
      </c>
      <c r="U10" s="120"/>
      <c r="V10" s="120"/>
      <c r="W10" s="117"/>
      <c r="X10" s="117">
        <f t="shared" si="2"/>
        <v>38.962000000000003</v>
      </c>
      <c r="Y10" s="97" t="s">
        <v>858</v>
      </c>
    </row>
    <row r="11" spans="1:25" ht="189">
      <c r="A11" s="469"/>
      <c r="B11" s="469"/>
      <c r="C11" s="469"/>
      <c r="D11" s="106">
        <v>6</v>
      </c>
      <c r="E11" s="106" t="s">
        <v>32</v>
      </c>
      <c r="F11" s="120">
        <v>2.09</v>
      </c>
      <c r="G11" s="120"/>
      <c r="H11" s="120"/>
      <c r="I11" s="120"/>
      <c r="J11" s="116">
        <f t="shared" si="0"/>
        <v>0</v>
      </c>
      <c r="K11" s="120"/>
      <c r="L11" s="120"/>
      <c r="M11" s="120"/>
      <c r="N11" s="120"/>
      <c r="O11" s="120"/>
      <c r="P11" s="116">
        <f t="shared" si="1"/>
        <v>0</v>
      </c>
      <c r="Q11" s="120"/>
      <c r="R11" s="120"/>
      <c r="S11" s="121"/>
      <c r="T11" s="124">
        <v>0.9</v>
      </c>
      <c r="U11" s="120"/>
      <c r="V11" s="120"/>
      <c r="W11" s="127"/>
      <c r="X11" s="117">
        <f t="shared" si="2"/>
        <v>2.9899999999999998</v>
      </c>
      <c r="Y11" s="376" t="s">
        <v>859</v>
      </c>
    </row>
    <row r="12" spans="1:25" ht="63">
      <c r="A12" s="469"/>
      <c r="B12" s="469"/>
      <c r="C12" s="469"/>
      <c r="D12" s="106">
        <v>7</v>
      </c>
      <c r="E12" s="106" t="s">
        <v>33</v>
      </c>
      <c r="F12" s="120"/>
      <c r="G12" s="120"/>
      <c r="H12" s="120"/>
      <c r="I12" s="120"/>
      <c r="J12" s="116">
        <f t="shared" si="0"/>
        <v>0</v>
      </c>
      <c r="K12" s="120"/>
      <c r="L12" s="120"/>
      <c r="M12" s="120"/>
      <c r="N12" s="120"/>
      <c r="O12" s="120"/>
      <c r="P12" s="116">
        <f t="shared" si="1"/>
        <v>0</v>
      </c>
      <c r="Q12" s="120"/>
      <c r="R12" s="120"/>
      <c r="S12" s="121"/>
      <c r="T12" s="121"/>
      <c r="U12" s="120"/>
      <c r="V12" s="120"/>
      <c r="W12" s="377"/>
      <c r="X12" s="117">
        <f t="shared" si="2"/>
        <v>0</v>
      </c>
      <c r="Y12" s="376"/>
    </row>
    <row r="13" spans="1:25" ht="24.75" customHeight="1">
      <c r="A13" s="469"/>
      <c r="B13" s="469"/>
      <c r="C13" s="469"/>
      <c r="D13" s="106">
        <v>8</v>
      </c>
      <c r="E13" s="106" t="s">
        <v>34</v>
      </c>
      <c r="F13" s="120"/>
      <c r="G13" s="120"/>
      <c r="H13" s="120"/>
      <c r="I13" s="120"/>
      <c r="J13" s="116">
        <f t="shared" si="0"/>
        <v>0</v>
      </c>
      <c r="K13" s="120"/>
      <c r="L13" s="120"/>
      <c r="M13" s="120"/>
      <c r="N13" s="120"/>
      <c r="O13" s="120"/>
      <c r="P13" s="116">
        <f t="shared" si="1"/>
        <v>0</v>
      </c>
      <c r="Q13" s="120"/>
      <c r="R13" s="120"/>
      <c r="S13" s="120"/>
      <c r="T13" s="120"/>
      <c r="U13" s="120"/>
      <c r="V13" s="120"/>
      <c r="W13" s="117"/>
      <c r="X13" s="117">
        <f t="shared" si="2"/>
        <v>0</v>
      </c>
      <c r="Y13" s="97"/>
    </row>
    <row r="14" spans="1:25" ht="109.5" customHeight="1">
      <c r="A14" s="469"/>
      <c r="B14" s="469"/>
      <c r="C14" s="469"/>
      <c r="D14" s="106">
        <v>9</v>
      </c>
      <c r="E14" s="106" t="s">
        <v>35</v>
      </c>
      <c r="F14" s="120"/>
      <c r="G14" s="120"/>
      <c r="H14" s="120"/>
      <c r="I14" s="120"/>
      <c r="J14" s="116">
        <f t="shared" si="0"/>
        <v>0</v>
      </c>
      <c r="K14" s="120"/>
      <c r="L14" s="120"/>
      <c r="M14" s="120"/>
      <c r="N14" s="120"/>
      <c r="O14" s="120"/>
      <c r="P14" s="116">
        <f t="shared" si="1"/>
        <v>0</v>
      </c>
      <c r="Q14" s="120"/>
      <c r="R14" s="120"/>
      <c r="S14" s="120"/>
      <c r="T14" s="120">
        <v>0.11</v>
      </c>
      <c r="U14" s="121"/>
      <c r="V14" s="121"/>
      <c r="W14" s="117"/>
      <c r="X14" s="117">
        <f t="shared" si="2"/>
        <v>0.11</v>
      </c>
      <c r="Y14" s="135" t="s">
        <v>855</v>
      </c>
    </row>
    <row r="15" spans="1:25" ht="31.5">
      <c r="A15" s="469"/>
      <c r="B15" s="469"/>
      <c r="C15" s="469"/>
      <c r="D15" s="106">
        <v>10</v>
      </c>
      <c r="E15" s="106" t="s">
        <v>36</v>
      </c>
      <c r="F15" s="120"/>
      <c r="G15" s="120"/>
      <c r="H15" s="120"/>
      <c r="I15" s="120"/>
      <c r="J15" s="116">
        <f t="shared" si="0"/>
        <v>0</v>
      </c>
      <c r="K15" s="122"/>
      <c r="L15" s="122"/>
      <c r="M15" s="120"/>
      <c r="N15" s="120"/>
      <c r="O15" s="120"/>
      <c r="P15" s="116">
        <f t="shared" si="1"/>
        <v>0</v>
      </c>
      <c r="Q15" s="120"/>
      <c r="R15" s="120"/>
      <c r="S15" s="120"/>
      <c r="T15" s="120"/>
      <c r="U15" s="120"/>
      <c r="V15" s="120"/>
      <c r="W15" s="117"/>
      <c r="X15" s="117">
        <f t="shared" si="2"/>
        <v>0</v>
      </c>
      <c r="Y15" s="135"/>
    </row>
    <row r="16" spans="1:25" ht="24.75" customHeight="1">
      <c r="A16" s="469"/>
      <c r="B16" s="469"/>
      <c r="C16" s="469"/>
      <c r="D16" s="106">
        <v>11</v>
      </c>
      <c r="E16" s="106" t="s">
        <v>37</v>
      </c>
      <c r="F16" s="116"/>
      <c r="G16" s="125"/>
      <c r="H16" s="125"/>
      <c r="I16" s="125"/>
      <c r="J16" s="125">
        <f t="shared" si="0"/>
        <v>0</v>
      </c>
      <c r="K16" s="116"/>
      <c r="L16" s="116"/>
      <c r="M16" s="116"/>
      <c r="N16" s="116"/>
      <c r="O16" s="116"/>
      <c r="P16" s="116">
        <f t="shared" si="1"/>
        <v>0</v>
      </c>
      <c r="Q16" s="116"/>
      <c r="R16" s="116"/>
      <c r="S16" s="116"/>
      <c r="T16" s="116"/>
      <c r="U16" s="116"/>
      <c r="V16" s="116"/>
      <c r="W16" s="117"/>
      <c r="X16" s="117">
        <f t="shared" si="2"/>
        <v>0</v>
      </c>
      <c r="Y16" s="97"/>
    </row>
    <row r="17" spans="1:25" ht="15.75">
      <c r="A17" s="469"/>
      <c r="B17" s="469"/>
      <c r="C17" s="469"/>
      <c r="D17" s="106">
        <v>12</v>
      </c>
      <c r="E17" s="106" t="s">
        <v>38</v>
      </c>
      <c r="F17" s="116"/>
      <c r="G17" s="116"/>
      <c r="H17" s="116"/>
      <c r="I17" s="116"/>
      <c r="J17" s="116">
        <f t="shared" si="0"/>
        <v>0</v>
      </c>
      <c r="K17" s="116"/>
      <c r="L17" s="116"/>
      <c r="M17" s="116"/>
      <c r="N17" s="116"/>
      <c r="O17" s="116"/>
      <c r="P17" s="116">
        <f t="shared" si="1"/>
        <v>0</v>
      </c>
      <c r="Q17" s="116"/>
      <c r="R17" s="116"/>
      <c r="S17" s="116"/>
      <c r="T17" s="116"/>
      <c r="U17" s="116"/>
      <c r="V17" s="116"/>
      <c r="W17" s="117"/>
      <c r="X17" s="117">
        <f t="shared" si="2"/>
        <v>0</v>
      </c>
      <c r="Y17" s="135"/>
    </row>
    <row r="18" spans="1:25" ht="24.75" customHeight="1">
      <c r="A18" s="469"/>
      <c r="B18" s="469"/>
      <c r="C18" s="469"/>
      <c r="D18" s="106">
        <v>13</v>
      </c>
      <c r="E18" s="106" t="s">
        <v>39</v>
      </c>
      <c r="F18" s="116"/>
      <c r="G18" s="116"/>
      <c r="H18" s="116"/>
      <c r="I18" s="116"/>
      <c r="J18" s="116">
        <f t="shared" si="0"/>
        <v>0</v>
      </c>
      <c r="K18" s="116"/>
      <c r="L18" s="116"/>
      <c r="M18" s="116"/>
      <c r="N18" s="116"/>
      <c r="O18" s="116"/>
      <c r="P18" s="116">
        <f t="shared" si="1"/>
        <v>0</v>
      </c>
      <c r="Q18" s="116"/>
      <c r="R18" s="116"/>
      <c r="S18" s="125"/>
      <c r="T18" s="125"/>
      <c r="U18" s="116"/>
      <c r="V18" s="116"/>
      <c r="W18" s="117"/>
      <c r="X18" s="117">
        <f t="shared" si="2"/>
        <v>0</v>
      </c>
      <c r="Y18" s="97"/>
    </row>
    <row r="19" spans="1:25" ht="24.75" customHeight="1">
      <c r="A19" s="469"/>
      <c r="B19" s="469"/>
      <c r="C19" s="469"/>
      <c r="D19" s="106">
        <v>14</v>
      </c>
      <c r="E19" s="106" t="s">
        <v>40</v>
      </c>
      <c r="F19" s="116"/>
      <c r="G19" s="116"/>
      <c r="H19" s="116"/>
      <c r="I19" s="116"/>
      <c r="J19" s="116">
        <f t="shared" si="0"/>
        <v>0</v>
      </c>
      <c r="K19" s="116"/>
      <c r="L19" s="116"/>
      <c r="M19" s="116"/>
      <c r="N19" s="116"/>
      <c r="O19" s="116"/>
      <c r="P19" s="116">
        <f t="shared" si="1"/>
        <v>0</v>
      </c>
      <c r="Q19" s="116"/>
      <c r="R19" s="116"/>
      <c r="S19" s="116"/>
      <c r="T19" s="116"/>
      <c r="U19" s="116"/>
      <c r="V19" s="116"/>
      <c r="W19" s="117"/>
      <c r="X19" s="117">
        <f t="shared" si="2"/>
        <v>0</v>
      </c>
      <c r="Y19" s="97"/>
    </row>
    <row r="20" spans="1:25" ht="29.25" customHeight="1">
      <c r="A20" s="469"/>
      <c r="B20" s="469"/>
      <c r="C20" s="469"/>
      <c r="D20" s="106">
        <v>15</v>
      </c>
      <c r="E20" s="106" t="s">
        <v>41</v>
      </c>
      <c r="F20" s="120"/>
      <c r="G20" s="120"/>
      <c r="H20" s="120"/>
      <c r="I20" s="120"/>
      <c r="J20" s="116">
        <f t="shared" si="0"/>
        <v>0</v>
      </c>
      <c r="K20" s="126"/>
      <c r="L20" s="126"/>
      <c r="M20" s="120"/>
      <c r="N20" s="120"/>
      <c r="O20" s="120"/>
      <c r="P20" s="116">
        <f t="shared" si="1"/>
        <v>0</v>
      </c>
      <c r="Q20" s="120"/>
      <c r="R20" s="120"/>
      <c r="S20" s="125"/>
      <c r="T20" s="125">
        <v>0</v>
      </c>
      <c r="U20" s="116"/>
      <c r="V20" s="116"/>
      <c r="W20" s="117"/>
      <c r="X20" s="117">
        <f t="shared" si="2"/>
        <v>0</v>
      </c>
      <c r="Y20" s="97"/>
    </row>
    <row r="21" spans="1:25" ht="29.25" customHeight="1">
      <c r="A21" s="469"/>
      <c r="B21" s="469"/>
      <c r="C21" s="469"/>
      <c r="D21" s="106">
        <v>16</v>
      </c>
      <c r="E21" s="106" t="s">
        <v>42</v>
      </c>
      <c r="F21" s="116"/>
      <c r="G21" s="116"/>
      <c r="H21" s="116"/>
      <c r="I21" s="116"/>
      <c r="J21" s="116">
        <f t="shared" si="0"/>
        <v>0</v>
      </c>
      <c r="K21" s="116"/>
      <c r="L21" s="116"/>
      <c r="M21" s="116"/>
      <c r="N21" s="116"/>
      <c r="O21" s="116"/>
      <c r="P21" s="116">
        <f t="shared" si="1"/>
        <v>0</v>
      </c>
      <c r="Q21" s="116"/>
      <c r="R21" s="116"/>
      <c r="S21" s="116"/>
      <c r="T21" s="116"/>
      <c r="U21" s="116"/>
      <c r="V21" s="116"/>
      <c r="W21" s="117"/>
      <c r="X21" s="117">
        <f t="shared" si="2"/>
        <v>0</v>
      </c>
      <c r="Y21" s="97"/>
    </row>
    <row r="22" spans="1:25" ht="29.25" customHeight="1">
      <c r="A22" s="469"/>
      <c r="B22" s="469"/>
      <c r="C22" s="469"/>
      <c r="D22" s="106">
        <v>17</v>
      </c>
      <c r="E22" s="106" t="s">
        <v>43</v>
      </c>
      <c r="F22" s="120"/>
      <c r="G22" s="120"/>
      <c r="H22" s="120"/>
      <c r="I22" s="120"/>
      <c r="J22" s="116">
        <f t="shared" si="0"/>
        <v>0</v>
      </c>
      <c r="K22" s="122"/>
      <c r="L22" s="122"/>
      <c r="M22" s="120"/>
      <c r="N22" s="120"/>
      <c r="O22" s="120"/>
      <c r="P22" s="116">
        <f t="shared" si="1"/>
        <v>0</v>
      </c>
      <c r="Q22" s="120"/>
      <c r="R22" s="120"/>
      <c r="S22" s="121"/>
      <c r="T22" s="121"/>
      <c r="U22" s="121"/>
      <c r="V22" s="121"/>
      <c r="W22" s="117"/>
      <c r="X22" s="117">
        <f t="shared" si="2"/>
        <v>0</v>
      </c>
      <c r="Y22" s="135"/>
    </row>
    <row r="23" spans="1:25" ht="29.25" hidden="1" customHeight="1">
      <c r="A23" s="469"/>
      <c r="B23" s="469"/>
      <c r="C23" s="469"/>
      <c r="D23" s="106">
        <v>18</v>
      </c>
      <c r="E23" s="106" t="s">
        <v>44</v>
      </c>
      <c r="F23" s="120"/>
      <c r="G23" s="120"/>
      <c r="H23" s="120"/>
      <c r="I23" s="120"/>
      <c r="J23" s="116">
        <f t="shared" si="0"/>
        <v>0</v>
      </c>
      <c r="K23" s="120"/>
      <c r="L23" s="120"/>
      <c r="M23" s="120"/>
      <c r="N23" s="120"/>
      <c r="O23" s="120"/>
      <c r="P23" s="116">
        <f t="shared" si="1"/>
        <v>0</v>
      </c>
      <c r="Q23" s="120"/>
      <c r="R23" s="120"/>
      <c r="S23" s="121"/>
      <c r="T23" s="121"/>
      <c r="U23" s="121"/>
      <c r="V23" s="121"/>
      <c r="W23" s="117"/>
      <c r="X23" s="117">
        <f t="shared" si="2"/>
        <v>0</v>
      </c>
      <c r="Y23" s="97"/>
    </row>
    <row r="24" spans="1:25" ht="29.25" customHeight="1">
      <c r="A24" s="469"/>
      <c r="B24" s="476" t="s">
        <v>45</v>
      </c>
      <c r="C24" s="476" t="s">
        <v>46</v>
      </c>
      <c r="D24" s="106">
        <v>19</v>
      </c>
      <c r="E24" s="106" t="s">
        <v>46</v>
      </c>
      <c r="F24" s="120"/>
      <c r="G24" s="120"/>
      <c r="H24" s="120"/>
      <c r="I24" s="120"/>
      <c r="J24" s="116">
        <f t="shared" si="0"/>
        <v>0</v>
      </c>
      <c r="K24" s="120"/>
      <c r="L24" s="120"/>
      <c r="M24" s="120"/>
      <c r="N24" s="120"/>
      <c r="O24" s="120"/>
      <c r="P24" s="116">
        <f t="shared" si="1"/>
        <v>0</v>
      </c>
      <c r="Q24" s="120"/>
      <c r="R24" s="120"/>
      <c r="S24" s="120"/>
      <c r="T24" s="120"/>
      <c r="U24" s="120"/>
      <c r="V24" s="120"/>
      <c r="W24" s="117"/>
      <c r="X24" s="117">
        <f t="shared" si="2"/>
        <v>0</v>
      </c>
      <c r="Y24" s="97"/>
    </row>
    <row r="25" spans="1:25" ht="29.25" customHeight="1">
      <c r="A25" s="469"/>
      <c r="B25" s="469"/>
      <c r="C25" s="469"/>
      <c r="D25" s="106">
        <v>20</v>
      </c>
      <c r="E25" s="106" t="s">
        <v>47</v>
      </c>
      <c r="F25" s="120"/>
      <c r="G25" s="120"/>
      <c r="H25" s="120"/>
      <c r="I25" s="120"/>
      <c r="J25" s="116">
        <f t="shared" si="0"/>
        <v>0</v>
      </c>
      <c r="K25" s="120"/>
      <c r="L25" s="120"/>
      <c r="M25" s="120"/>
      <c r="N25" s="120"/>
      <c r="O25" s="120"/>
      <c r="P25" s="116">
        <f t="shared" si="1"/>
        <v>0</v>
      </c>
      <c r="Q25" s="120"/>
      <c r="R25" s="120"/>
      <c r="S25" s="120"/>
      <c r="T25" s="120"/>
      <c r="U25" s="120"/>
      <c r="V25" s="120"/>
      <c r="W25" s="117"/>
      <c r="X25" s="117">
        <f t="shared" si="2"/>
        <v>0</v>
      </c>
      <c r="Y25" s="97"/>
    </row>
    <row r="26" spans="1:25" ht="110.25">
      <c r="A26" s="469"/>
      <c r="B26" s="476" t="s">
        <v>48</v>
      </c>
      <c r="C26" s="476" t="s">
        <v>49</v>
      </c>
      <c r="D26" s="106">
        <v>21</v>
      </c>
      <c r="E26" s="106" t="s">
        <v>50</v>
      </c>
      <c r="F26" s="120"/>
      <c r="G26" s="120"/>
      <c r="H26" s="120"/>
      <c r="I26" s="121"/>
      <c r="J26" s="125">
        <f t="shared" si="0"/>
        <v>0</v>
      </c>
      <c r="K26" s="122"/>
      <c r="L26" s="122"/>
      <c r="M26" s="120"/>
      <c r="N26" s="120"/>
      <c r="O26" s="122"/>
      <c r="P26" s="117">
        <f t="shared" si="1"/>
        <v>0</v>
      </c>
      <c r="Q26" s="120"/>
      <c r="R26" s="120"/>
      <c r="S26" s="121"/>
      <c r="T26" s="121">
        <v>29.448</v>
      </c>
      <c r="U26" s="180"/>
      <c r="V26" s="120"/>
      <c r="W26" s="117"/>
      <c r="X26" s="117">
        <f t="shared" si="2"/>
        <v>29.448</v>
      </c>
      <c r="Y26" s="135" t="s">
        <v>384</v>
      </c>
    </row>
    <row r="27" spans="1:25" ht="173.25">
      <c r="A27" s="469"/>
      <c r="B27" s="469"/>
      <c r="C27" s="469"/>
      <c r="D27" s="106">
        <v>22</v>
      </c>
      <c r="E27" s="106" t="s">
        <v>52</v>
      </c>
      <c r="F27" s="121"/>
      <c r="G27" s="120"/>
      <c r="H27" s="120"/>
      <c r="I27" s="121"/>
      <c r="J27" s="125">
        <f t="shared" si="0"/>
        <v>0</v>
      </c>
      <c r="K27" s="129"/>
      <c r="L27" s="129">
        <v>3.76</v>
      </c>
      <c r="M27" s="115"/>
      <c r="N27" s="120"/>
      <c r="O27" s="120"/>
      <c r="P27" s="116">
        <f t="shared" si="1"/>
        <v>0</v>
      </c>
      <c r="Q27" s="121"/>
      <c r="R27" s="121">
        <v>1</v>
      </c>
      <c r="S27" s="125"/>
      <c r="T27" s="121">
        <v>145.1336</v>
      </c>
      <c r="U27" s="115"/>
      <c r="V27" s="120"/>
      <c r="W27" s="117"/>
      <c r="X27" s="117">
        <f t="shared" si="2"/>
        <v>149.89359999999999</v>
      </c>
      <c r="Y27" s="135" t="s">
        <v>760</v>
      </c>
    </row>
    <row r="28" spans="1:25" ht="29.25" customHeight="1">
      <c r="A28" s="469"/>
      <c r="B28" s="469"/>
      <c r="C28" s="469"/>
      <c r="D28" s="106">
        <v>23</v>
      </c>
      <c r="E28" s="106" t="s">
        <v>55</v>
      </c>
      <c r="F28" s="120"/>
      <c r="G28" s="120"/>
      <c r="H28" s="120"/>
      <c r="I28" s="120"/>
      <c r="J28" s="116">
        <f t="shared" si="0"/>
        <v>0</v>
      </c>
      <c r="K28" s="120"/>
      <c r="L28" s="120"/>
      <c r="M28" s="120"/>
      <c r="N28" s="120"/>
      <c r="O28" s="122"/>
      <c r="P28" s="117">
        <f t="shared" si="1"/>
        <v>0</v>
      </c>
      <c r="Q28" s="120"/>
      <c r="R28" s="120"/>
      <c r="S28" s="120"/>
      <c r="T28" s="120"/>
      <c r="U28" s="120"/>
      <c r="V28" s="120"/>
      <c r="W28" s="117"/>
      <c r="X28" s="117">
        <f t="shared" si="2"/>
        <v>0</v>
      </c>
      <c r="Y28" s="135"/>
    </row>
    <row r="29" spans="1:25" ht="141.75">
      <c r="A29" s="469"/>
      <c r="B29" s="469"/>
      <c r="C29" s="469"/>
      <c r="D29" s="106">
        <v>24</v>
      </c>
      <c r="E29" s="106" t="s">
        <v>56</v>
      </c>
      <c r="F29" s="120"/>
      <c r="G29" s="120"/>
      <c r="H29" s="120"/>
      <c r="I29" s="121"/>
      <c r="J29" s="125">
        <f t="shared" si="0"/>
        <v>0</v>
      </c>
      <c r="K29" s="120"/>
      <c r="L29" s="120"/>
      <c r="M29" s="120"/>
      <c r="N29" s="120"/>
      <c r="O29" s="120"/>
      <c r="P29" s="116">
        <f t="shared" si="1"/>
        <v>0</v>
      </c>
      <c r="Q29" s="120"/>
      <c r="R29" s="120"/>
      <c r="S29" s="120"/>
      <c r="T29" s="120">
        <v>3.35</v>
      </c>
      <c r="U29" s="298"/>
      <c r="V29" s="120"/>
      <c r="W29" s="117"/>
      <c r="X29" s="117">
        <f t="shared" si="2"/>
        <v>3.35</v>
      </c>
      <c r="Y29" s="135" t="s">
        <v>761</v>
      </c>
    </row>
    <row r="30" spans="1:25" ht="393.75">
      <c r="A30" s="469"/>
      <c r="B30" s="469"/>
      <c r="C30" s="469"/>
      <c r="D30" s="106">
        <v>25</v>
      </c>
      <c r="E30" s="106" t="s">
        <v>57</v>
      </c>
      <c r="F30" s="120"/>
      <c r="G30" s="120"/>
      <c r="H30" s="120"/>
      <c r="I30" s="120"/>
      <c r="J30" s="116">
        <f t="shared" si="0"/>
        <v>0</v>
      </c>
      <c r="K30" s="120"/>
      <c r="L30" s="120"/>
      <c r="M30" s="120"/>
      <c r="N30" s="120"/>
      <c r="O30" s="120"/>
      <c r="P30" s="116">
        <f t="shared" si="1"/>
        <v>0</v>
      </c>
      <c r="Q30" s="120"/>
      <c r="R30" s="120"/>
      <c r="S30" s="120"/>
      <c r="T30" s="120">
        <v>0.59899999999999998</v>
      </c>
      <c r="U30" s="115"/>
      <c r="V30" s="120"/>
      <c r="W30" s="117"/>
      <c r="X30" s="117">
        <f t="shared" si="2"/>
        <v>0.59899999999999998</v>
      </c>
      <c r="Y30" s="135" t="s">
        <v>762</v>
      </c>
    </row>
    <row r="31" spans="1:25" ht="29.25" customHeight="1">
      <c r="A31" s="469"/>
      <c r="B31" s="469"/>
      <c r="C31" s="469"/>
      <c r="D31" s="106">
        <v>26</v>
      </c>
      <c r="E31" s="106" t="s">
        <v>58</v>
      </c>
      <c r="F31" s="120"/>
      <c r="G31" s="120"/>
      <c r="H31" s="120"/>
      <c r="I31" s="120"/>
      <c r="J31" s="116">
        <f t="shared" si="0"/>
        <v>0</v>
      </c>
      <c r="K31" s="122"/>
      <c r="L31" s="122"/>
      <c r="M31" s="120"/>
      <c r="N31" s="120"/>
      <c r="O31" s="120"/>
      <c r="P31" s="116">
        <f t="shared" si="1"/>
        <v>0</v>
      </c>
      <c r="Q31" s="120"/>
      <c r="R31" s="120"/>
      <c r="S31" s="120"/>
      <c r="T31" s="120"/>
      <c r="U31" s="120"/>
      <c r="V31" s="120"/>
      <c r="W31" s="117"/>
      <c r="X31" s="117">
        <f t="shared" si="2"/>
        <v>0</v>
      </c>
      <c r="Y31" s="135"/>
    </row>
    <row r="32" spans="1:25" ht="31.5">
      <c r="A32" s="469"/>
      <c r="B32" s="469"/>
      <c r="C32" s="469"/>
      <c r="D32" s="106">
        <v>27</v>
      </c>
      <c r="E32" s="106" t="s">
        <v>59</v>
      </c>
      <c r="F32" s="120"/>
      <c r="G32" s="120"/>
      <c r="H32" s="120"/>
      <c r="I32" s="121"/>
      <c r="J32" s="125">
        <f t="shared" si="0"/>
        <v>0</v>
      </c>
      <c r="K32" s="122"/>
      <c r="L32" s="122"/>
      <c r="M32" s="120"/>
      <c r="N32" s="120"/>
      <c r="O32" s="120"/>
      <c r="P32" s="116">
        <f t="shared" si="1"/>
        <v>0</v>
      </c>
      <c r="Q32" s="120"/>
      <c r="R32" s="120"/>
      <c r="S32" s="130"/>
      <c r="T32" s="130">
        <v>4</v>
      </c>
      <c r="U32" s="131"/>
      <c r="V32" s="120"/>
      <c r="W32" s="117"/>
      <c r="X32" s="117">
        <f t="shared" si="2"/>
        <v>4</v>
      </c>
      <c r="Y32" s="135" t="s">
        <v>797</v>
      </c>
    </row>
    <row r="33" spans="1:25" ht="94.5">
      <c r="A33" s="469"/>
      <c r="B33" s="469"/>
      <c r="C33" s="469"/>
      <c r="D33" s="106">
        <v>28</v>
      </c>
      <c r="E33" s="106" t="s">
        <v>30</v>
      </c>
      <c r="F33" s="120"/>
      <c r="G33" s="120"/>
      <c r="H33" s="120"/>
      <c r="I33" s="120"/>
      <c r="J33" s="116">
        <f t="shared" si="0"/>
        <v>0</v>
      </c>
      <c r="K33" s="120"/>
      <c r="L33" s="120"/>
      <c r="M33" s="120"/>
      <c r="N33" s="120"/>
      <c r="O33" s="122">
        <v>7.0751999999999997</v>
      </c>
      <c r="P33" s="117">
        <f t="shared" si="1"/>
        <v>7.0751999999999997</v>
      </c>
      <c r="Q33" s="97"/>
      <c r="R33" s="122">
        <v>7.0751999999999997</v>
      </c>
      <c r="S33" s="97"/>
      <c r="T33" s="120"/>
      <c r="U33" s="120"/>
      <c r="V33" s="120"/>
      <c r="W33" s="117"/>
      <c r="X33" s="117">
        <f t="shared" si="2"/>
        <v>14.150399999999999</v>
      </c>
      <c r="Y33" s="135" t="s">
        <v>763</v>
      </c>
    </row>
    <row r="34" spans="1:25" ht="78.75">
      <c r="A34" s="469"/>
      <c r="B34" s="469"/>
      <c r="C34" s="469"/>
      <c r="D34" s="106">
        <v>29</v>
      </c>
      <c r="E34" s="106" t="s">
        <v>31</v>
      </c>
      <c r="F34" s="120"/>
      <c r="G34" s="120"/>
      <c r="H34" s="120"/>
      <c r="I34" s="120"/>
      <c r="J34" s="116">
        <f t="shared" si="0"/>
        <v>0</v>
      </c>
      <c r="K34" s="120"/>
      <c r="L34" s="120"/>
      <c r="M34" s="120"/>
      <c r="N34" s="120"/>
      <c r="O34" s="120"/>
      <c r="P34" s="116">
        <f t="shared" si="1"/>
        <v>0</v>
      </c>
      <c r="Q34" s="120"/>
      <c r="R34" s="120"/>
      <c r="S34" s="122"/>
      <c r="T34" s="122">
        <v>24.763200000000001</v>
      </c>
      <c r="U34" s="97"/>
      <c r="V34" s="120"/>
      <c r="W34" s="117"/>
      <c r="X34" s="117">
        <f t="shared" si="2"/>
        <v>24.763200000000001</v>
      </c>
      <c r="Y34" s="135" t="s">
        <v>764</v>
      </c>
    </row>
    <row r="35" spans="1:25" ht="29.25" customHeight="1">
      <c r="A35" s="469"/>
      <c r="B35" s="469"/>
      <c r="C35" s="469"/>
      <c r="D35" s="106">
        <v>30</v>
      </c>
      <c r="E35" s="106" t="s">
        <v>60</v>
      </c>
      <c r="F35" s="120"/>
      <c r="G35" s="120"/>
      <c r="H35" s="120"/>
      <c r="I35" s="120"/>
      <c r="J35" s="116">
        <f t="shared" si="0"/>
        <v>0</v>
      </c>
      <c r="K35" s="122"/>
      <c r="L35" s="122"/>
      <c r="M35" s="120"/>
      <c r="N35" s="120"/>
      <c r="O35" s="120"/>
      <c r="P35" s="116">
        <f t="shared" si="1"/>
        <v>0</v>
      </c>
      <c r="Q35" s="120"/>
      <c r="R35" s="120"/>
      <c r="S35" s="120"/>
      <c r="T35" s="120"/>
      <c r="U35" s="120"/>
      <c r="V35" s="120"/>
      <c r="W35" s="117"/>
      <c r="X35" s="117">
        <f t="shared" si="2"/>
        <v>0</v>
      </c>
      <c r="Y35" s="135"/>
    </row>
    <row r="36" spans="1:25" ht="29.25" hidden="1" customHeight="1">
      <c r="A36" s="469"/>
      <c r="B36" s="469"/>
      <c r="C36" s="469"/>
      <c r="D36" s="106">
        <v>31</v>
      </c>
      <c r="E36" s="106" t="s">
        <v>44</v>
      </c>
      <c r="F36" s="120"/>
      <c r="G36" s="120"/>
      <c r="H36" s="120"/>
      <c r="I36" s="120"/>
      <c r="J36" s="116">
        <f t="shared" si="0"/>
        <v>0</v>
      </c>
      <c r="K36" s="120"/>
      <c r="L36" s="120"/>
      <c r="M36" s="120"/>
      <c r="N36" s="120"/>
      <c r="O36" s="120"/>
      <c r="P36" s="116">
        <f t="shared" si="1"/>
        <v>0</v>
      </c>
      <c r="Q36" s="120"/>
      <c r="R36" s="120"/>
      <c r="S36" s="120"/>
      <c r="T36" s="120"/>
      <c r="U36" s="120"/>
      <c r="V36" s="120"/>
      <c r="W36" s="117"/>
      <c r="X36" s="117">
        <f t="shared" si="2"/>
        <v>0</v>
      </c>
      <c r="Y36" s="97"/>
    </row>
    <row r="37" spans="1:25" ht="360" customHeight="1">
      <c r="A37" s="469"/>
      <c r="B37" s="476" t="s">
        <v>61</v>
      </c>
      <c r="C37" s="476" t="s">
        <v>62</v>
      </c>
      <c r="D37" s="106">
        <v>32</v>
      </c>
      <c r="E37" s="106" t="s">
        <v>63</v>
      </c>
      <c r="F37" s="120"/>
      <c r="G37" s="120"/>
      <c r="H37" s="120"/>
      <c r="I37" s="120"/>
      <c r="J37" s="116">
        <f t="shared" si="0"/>
        <v>0</v>
      </c>
      <c r="K37" s="122"/>
      <c r="L37" s="122"/>
      <c r="M37" s="120"/>
      <c r="N37" s="120"/>
      <c r="O37" s="120"/>
      <c r="P37" s="116">
        <f t="shared" si="1"/>
        <v>0</v>
      </c>
      <c r="Q37" s="122"/>
      <c r="R37" s="122"/>
      <c r="S37" s="121"/>
      <c r="T37" s="121">
        <v>15.331300000000001</v>
      </c>
      <c r="U37" s="122"/>
      <c r="V37" s="122"/>
      <c r="W37" s="117"/>
      <c r="X37" s="117">
        <f t="shared" si="2"/>
        <v>15.331300000000001</v>
      </c>
      <c r="Y37" s="135" t="s">
        <v>1169</v>
      </c>
    </row>
    <row r="38" spans="1:25" ht="29.25" customHeight="1">
      <c r="A38" s="469"/>
      <c r="B38" s="469"/>
      <c r="C38" s="469"/>
      <c r="D38" s="106">
        <v>33</v>
      </c>
      <c r="E38" s="106" t="s">
        <v>64</v>
      </c>
      <c r="F38" s="116"/>
      <c r="G38" s="116"/>
      <c r="H38" s="116"/>
      <c r="I38" s="116"/>
      <c r="J38" s="116">
        <f t="shared" si="0"/>
        <v>0</v>
      </c>
      <c r="K38" s="116"/>
      <c r="L38" s="116"/>
      <c r="M38" s="116"/>
      <c r="N38" s="116"/>
      <c r="O38" s="116"/>
      <c r="P38" s="116">
        <f t="shared" si="1"/>
        <v>0</v>
      </c>
      <c r="Q38" s="116"/>
      <c r="R38" s="116"/>
      <c r="S38" s="116"/>
      <c r="T38" s="116"/>
      <c r="U38" s="116"/>
      <c r="V38" s="116"/>
      <c r="W38" s="117"/>
      <c r="X38" s="117">
        <f t="shared" si="2"/>
        <v>0</v>
      </c>
      <c r="Y38" s="97"/>
    </row>
    <row r="39" spans="1:25" ht="29.25" customHeight="1">
      <c r="A39" s="469"/>
      <c r="B39" s="469"/>
      <c r="C39" s="469"/>
      <c r="D39" s="106">
        <v>34</v>
      </c>
      <c r="E39" s="106" t="s">
        <v>65</v>
      </c>
      <c r="F39" s="116"/>
      <c r="G39" s="116"/>
      <c r="H39" s="116"/>
      <c r="I39" s="116"/>
      <c r="J39" s="116">
        <f t="shared" si="0"/>
        <v>0</v>
      </c>
      <c r="K39" s="116"/>
      <c r="L39" s="116"/>
      <c r="M39" s="116"/>
      <c r="N39" s="116"/>
      <c r="O39" s="116"/>
      <c r="P39" s="116">
        <f t="shared" si="1"/>
        <v>0</v>
      </c>
      <c r="Q39" s="116"/>
      <c r="R39" s="116"/>
      <c r="S39" s="125"/>
      <c r="T39" s="125"/>
      <c r="U39" s="116"/>
      <c r="V39" s="116"/>
      <c r="W39" s="117"/>
      <c r="X39" s="117">
        <f t="shared" si="2"/>
        <v>0</v>
      </c>
      <c r="Y39" s="97"/>
    </row>
    <row r="40" spans="1:25" ht="237" customHeight="1">
      <c r="A40" s="469"/>
      <c r="B40" s="476" t="s">
        <v>66</v>
      </c>
      <c r="C40" s="476" t="s">
        <v>67</v>
      </c>
      <c r="D40" s="106">
        <v>35</v>
      </c>
      <c r="E40" s="223" t="s">
        <v>68</v>
      </c>
      <c r="F40" s="116"/>
      <c r="G40" s="116"/>
      <c r="H40" s="116"/>
      <c r="I40" s="116"/>
      <c r="J40" s="116">
        <f t="shared" si="0"/>
        <v>0</v>
      </c>
      <c r="K40" s="117"/>
      <c r="L40" s="117"/>
      <c r="M40" s="116"/>
      <c r="N40" s="116"/>
      <c r="O40" s="116"/>
      <c r="P40" s="116">
        <f t="shared" si="1"/>
        <v>0</v>
      </c>
      <c r="Q40" s="116"/>
      <c r="R40" s="116"/>
      <c r="S40" s="125"/>
      <c r="T40" s="125">
        <f>1.8+2.88+0.42</f>
        <v>5.0999999999999996</v>
      </c>
      <c r="U40" s="116"/>
      <c r="V40" s="116"/>
      <c r="W40" s="117"/>
      <c r="X40" s="117">
        <f t="shared" si="2"/>
        <v>5.0999999999999996</v>
      </c>
      <c r="Y40" s="135" t="s">
        <v>385</v>
      </c>
    </row>
    <row r="41" spans="1:25" ht="29.25" customHeight="1">
      <c r="A41" s="469"/>
      <c r="B41" s="469"/>
      <c r="C41" s="469"/>
      <c r="D41" s="106">
        <v>36</v>
      </c>
      <c r="E41" s="223" t="s">
        <v>70</v>
      </c>
      <c r="F41" s="116"/>
      <c r="G41" s="116"/>
      <c r="H41" s="116"/>
      <c r="I41" s="116"/>
      <c r="J41" s="116">
        <f t="shared" si="0"/>
        <v>0</v>
      </c>
      <c r="K41" s="116"/>
      <c r="L41" s="116"/>
      <c r="M41" s="116"/>
      <c r="N41" s="116"/>
      <c r="O41" s="117"/>
      <c r="P41" s="117">
        <f t="shared" si="1"/>
        <v>0</v>
      </c>
      <c r="Q41" s="116"/>
      <c r="R41" s="116"/>
      <c r="S41" s="116"/>
      <c r="T41" s="116"/>
      <c r="U41" s="116"/>
      <c r="V41" s="116"/>
      <c r="W41" s="117"/>
      <c r="X41" s="117">
        <f t="shared" si="2"/>
        <v>0</v>
      </c>
      <c r="Y41" s="135"/>
    </row>
    <row r="42" spans="1:25" ht="29.25" customHeight="1">
      <c r="A42" s="469"/>
      <c r="B42" s="469"/>
      <c r="C42" s="469"/>
      <c r="D42" s="106">
        <v>37</v>
      </c>
      <c r="E42" s="106" t="s">
        <v>71</v>
      </c>
      <c r="F42" s="116"/>
      <c r="G42" s="116"/>
      <c r="H42" s="116"/>
      <c r="I42" s="116"/>
      <c r="J42" s="116">
        <f t="shared" si="0"/>
        <v>0</v>
      </c>
      <c r="K42" s="116"/>
      <c r="L42" s="116"/>
      <c r="M42" s="116"/>
      <c r="N42" s="116"/>
      <c r="O42" s="117"/>
      <c r="P42" s="117">
        <f t="shared" si="1"/>
        <v>0</v>
      </c>
      <c r="Q42" s="116"/>
      <c r="R42" s="116"/>
      <c r="S42" s="116"/>
      <c r="T42" s="116"/>
      <c r="U42" s="116"/>
      <c r="V42" s="116"/>
      <c r="W42" s="117"/>
      <c r="X42" s="117">
        <f t="shared" si="2"/>
        <v>0</v>
      </c>
      <c r="Y42" s="97"/>
    </row>
    <row r="43" spans="1:25" ht="110.25">
      <c r="A43" s="469"/>
      <c r="B43" s="469"/>
      <c r="C43" s="469"/>
      <c r="D43" s="106">
        <v>38</v>
      </c>
      <c r="E43" s="139" t="s">
        <v>72</v>
      </c>
      <c r="F43" s="116"/>
      <c r="G43" s="116"/>
      <c r="H43" s="116"/>
      <c r="I43" s="116"/>
      <c r="J43" s="116">
        <f t="shared" si="0"/>
        <v>0</v>
      </c>
      <c r="K43" s="116"/>
      <c r="L43" s="116"/>
      <c r="M43" s="116"/>
      <c r="N43" s="116"/>
      <c r="O43" s="116"/>
      <c r="P43" s="116">
        <f t="shared" si="1"/>
        <v>0</v>
      </c>
      <c r="Q43" s="116"/>
      <c r="R43" s="116"/>
      <c r="S43" s="125"/>
      <c r="T43" s="125">
        <f>3.99+1.5</f>
        <v>5.49</v>
      </c>
      <c r="U43" s="116"/>
      <c r="V43" s="116"/>
      <c r="W43" s="117"/>
      <c r="X43" s="117">
        <f t="shared" si="2"/>
        <v>5.49</v>
      </c>
      <c r="Y43" s="97" t="s">
        <v>577</v>
      </c>
    </row>
    <row r="44" spans="1:25" ht="29.25" customHeight="1">
      <c r="A44" s="469"/>
      <c r="B44" s="469"/>
      <c r="C44" s="469"/>
      <c r="D44" s="106">
        <v>39</v>
      </c>
      <c r="E44" s="106" t="s">
        <v>74</v>
      </c>
      <c r="F44" s="116"/>
      <c r="G44" s="116"/>
      <c r="H44" s="116"/>
      <c r="I44" s="116"/>
      <c r="J44" s="116">
        <f t="shared" si="0"/>
        <v>0</v>
      </c>
      <c r="K44" s="116"/>
      <c r="L44" s="116"/>
      <c r="M44" s="116"/>
      <c r="N44" s="116"/>
      <c r="O44" s="116"/>
      <c r="P44" s="116">
        <f t="shared" si="1"/>
        <v>0</v>
      </c>
      <c r="Q44" s="116"/>
      <c r="R44" s="116"/>
      <c r="S44" s="125"/>
      <c r="T44" s="125"/>
      <c r="U44" s="116"/>
      <c r="V44" s="116"/>
      <c r="W44" s="117"/>
      <c r="X44" s="117">
        <f t="shared" si="2"/>
        <v>0</v>
      </c>
      <c r="Y44" s="135"/>
    </row>
    <row r="45" spans="1:25" ht="78.75">
      <c r="A45" s="469"/>
      <c r="B45" s="469"/>
      <c r="C45" s="469"/>
      <c r="D45" s="106">
        <v>40</v>
      </c>
      <c r="E45" s="106" t="s">
        <v>75</v>
      </c>
      <c r="F45" s="116"/>
      <c r="G45" s="116"/>
      <c r="H45" s="116"/>
      <c r="I45" s="116"/>
      <c r="J45" s="116">
        <f t="shared" si="0"/>
        <v>0</v>
      </c>
      <c r="K45" s="116"/>
      <c r="L45" s="116"/>
      <c r="M45" s="116"/>
      <c r="N45" s="116"/>
      <c r="O45" s="116"/>
      <c r="P45" s="116">
        <f t="shared" si="1"/>
        <v>0</v>
      </c>
      <c r="Q45" s="116"/>
      <c r="R45" s="116"/>
      <c r="S45" s="125"/>
      <c r="T45" s="125">
        <f>(500*14*15)/100000</f>
        <v>1.05</v>
      </c>
      <c r="U45" s="116"/>
      <c r="V45" s="116"/>
      <c r="W45" s="117"/>
      <c r="X45" s="117">
        <f t="shared" si="2"/>
        <v>1.05</v>
      </c>
      <c r="Y45" s="97" t="s">
        <v>578</v>
      </c>
    </row>
    <row r="46" spans="1:25" ht="29.25" hidden="1" customHeight="1">
      <c r="A46" s="469"/>
      <c r="B46" s="469"/>
      <c r="C46" s="469"/>
      <c r="D46" s="106">
        <v>41</v>
      </c>
      <c r="E46" s="106" t="s">
        <v>44</v>
      </c>
      <c r="F46" s="116"/>
      <c r="G46" s="116"/>
      <c r="H46" s="116"/>
      <c r="I46" s="116"/>
      <c r="J46" s="116">
        <f t="shared" si="0"/>
        <v>0</v>
      </c>
      <c r="K46" s="116"/>
      <c r="L46" s="116"/>
      <c r="M46" s="116"/>
      <c r="N46" s="116"/>
      <c r="O46" s="116"/>
      <c r="P46" s="116">
        <f t="shared" si="1"/>
        <v>0</v>
      </c>
      <c r="Q46" s="116"/>
      <c r="R46" s="116"/>
      <c r="S46" s="116"/>
      <c r="T46" s="116"/>
      <c r="U46" s="116"/>
      <c r="V46" s="116"/>
      <c r="W46" s="117"/>
      <c r="X46" s="117">
        <f t="shared" si="2"/>
        <v>0</v>
      </c>
      <c r="Y46" s="97"/>
    </row>
    <row r="47" spans="1:25" ht="78.75">
      <c r="A47" s="469"/>
      <c r="B47" s="476" t="s">
        <v>76</v>
      </c>
      <c r="C47" s="476" t="s">
        <v>77</v>
      </c>
      <c r="D47" s="106">
        <v>42</v>
      </c>
      <c r="E47" s="106" t="s">
        <v>78</v>
      </c>
      <c r="F47" s="121">
        <v>7.4160000000000004</v>
      </c>
      <c r="G47" s="120"/>
      <c r="H47" s="120"/>
      <c r="I47" s="120"/>
      <c r="J47" s="116">
        <f t="shared" si="0"/>
        <v>0</v>
      </c>
      <c r="K47" s="122"/>
      <c r="L47" s="122"/>
      <c r="M47" s="120"/>
      <c r="N47" s="120"/>
      <c r="O47" s="120"/>
      <c r="P47" s="116">
        <f t="shared" si="1"/>
        <v>0</v>
      </c>
      <c r="Q47" s="120"/>
      <c r="R47" s="120"/>
      <c r="S47" s="121"/>
      <c r="T47" s="121"/>
      <c r="U47" s="120"/>
      <c r="V47" s="120"/>
      <c r="W47" s="117"/>
      <c r="X47" s="117">
        <f t="shared" si="2"/>
        <v>7.4160000000000004</v>
      </c>
      <c r="Y47" s="135" t="s">
        <v>945</v>
      </c>
    </row>
    <row r="48" spans="1:25" ht="31.5">
      <c r="A48" s="469"/>
      <c r="B48" s="469"/>
      <c r="C48" s="469"/>
      <c r="D48" s="106">
        <v>43</v>
      </c>
      <c r="E48" s="106" t="s">
        <v>79</v>
      </c>
      <c r="F48" s="121">
        <v>0.46500000000000002</v>
      </c>
      <c r="G48" s="120"/>
      <c r="H48" s="120"/>
      <c r="I48" s="120"/>
      <c r="J48" s="116">
        <f t="shared" si="0"/>
        <v>0</v>
      </c>
      <c r="K48" s="122"/>
      <c r="L48" s="122"/>
      <c r="M48" s="120"/>
      <c r="N48" s="120"/>
      <c r="O48" s="120"/>
      <c r="P48" s="116">
        <f t="shared" si="1"/>
        <v>0</v>
      </c>
      <c r="Q48" s="120"/>
      <c r="R48" s="120"/>
      <c r="S48" s="121"/>
      <c r="T48" s="121"/>
      <c r="U48" s="120"/>
      <c r="V48" s="120"/>
      <c r="W48" s="117"/>
      <c r="X48" s="117">
        <f t="shared" si="2"/>
        <v>0.46500000000000002</v>
      </c>
      <c r="Y48" s="135" t="s">
        <v>946</v>
      </c>
    </row>
    <row r="49" spans="1:25" ht="63">
      <c r="A49" s="469"/>
      <c r="B49" s="469"/>
      <c r="C49" s="469"/>
      <c r="D49" s="106">
        <v>44</v>
      </c>
      <c r="E49" s="106" t="s">
        <v>80</v>
      </c>
      <c r="F49" s="121">
        <v>0.21</v>
      </c>
      <c r="G49" s="120"/>
      <c r="H49" s="120"/>
      <c r="I49" s="120"/>
      <c r="J49" s="116">
        <f t="shared" si="0"/>
        <v>0</v>
      </c>
      <c r="K49" s="122"/>
      <c r="L49" s="122"/>
      <c r="M49" s="120"/>
      <c r="N49" s="120"/>
      <c r="O49" s="120"/>
      <c r="P49" s="116">
        <f t="shared" si="1"/>
        <v>0</v>
      </c>
      <c r="Q49" s="120"/>
      <c r="R49" s="120"/>
      <c r="S49" s="121"/>
      <c r="T49" s="121"/>
      <c r="U49" s="120"/>
      <c r="V49" s="120"/>
      <c r="W49" s="117"/>
      <c r="X49" s="117">
        <f t="shared" si="2"/>
        <v>0.21</v>
      </c>
      <c r="Y49" s="135" t="s">
        <v>898</v>
      </c>
    </row>
    <row r="50" spans="1:25" ht="78.75">
      <c r="A50" s="469"/>
      <c r="B50" s="469"/>
      <c r="C50" s="469"/>
      <c r="D50" s="106">
        <v>45</v>
      </c>
      <c r="E50" s="106" t="s">
        <v>81</v>
      </c>
      <c r="F50" s="121">
        <v>0.108</v>
      </c>
      <c r="G50" s="120"/>
      <c r="H50" s="120"/>
      <c r="I50" s="120"/>
      <c r="J50" s="116">
        <f t="shared" si="0"/>
        <v>0</v>
      </c>
      <c r="K50" s="120"/>
      <c r="L50" s="120"/>
      <c r="M50" s="120"/>
      <c r="N50" s="120"/>
      <c r="O50" s="120"/>
      <c r="P50" s="116">
        <f t="shared" si="1"/>
        <v>0</v>
      </c>
      <c r="Q50" s="120"/>
      <c r="R50" s="120"/>
      <c r="S50" s="120"/>
      <c r="T50" s="120"/>
      <c r="U50" s="120"/>
      <c r="V50" s="120"/>
      <c r="W50" s="117"/>
      <c r="X50" s="117">
        <f t="shared" si="2"/>
        <v>0.108</v>
      </c>
      <c r="Y50" s="135" t="s">
        <v>899</v>
      </c>
    </row>
    <row r="51" spans="1:25" ht="31.5">
      <c r="A51" s="469"/>
      <c r="B51" s="469"/>
      <c r="C51" s="469"/>
      <c r="D51" s="106">
        <v>46</v>
      </c>
      <c r="E51" s="106" t="s">
        <v>82</v>
      </c>
      <c r="F51" s="120"/>
      <c r="G51" s="120"/>
      <c r="H51" s="120"/>
      <c r="I51" s="120"/>
      <c r="J51" s="116">
        <f t="shared" si="0"/>
        <v>0</v>
      </c>
      <c r="K51" s="120"/>
      <c r="L51" s="120"/>
      <c r="M51" s="120"/>
      <c r="N51" s="120"/>
      <c r="O51" s="120"/>
      <c r="P51" s="116">
        <f t="shared" si="1"/>
        <v>0</v>
      </c>
      <c r="Q51" s="120"/>
      <c r="R51" s="120"/>
      <c r="S51" s="120"/>
      <c r="T51" s="120"/>
      <c r="U51" s="120"/>
      <c r="V51" s="120"/>
      <c r="W51" s="117"/>
      <c r="X51" s="117">
        <f t="shared" si="2"/>
        <v>0</v>
      </c>
      <c r="Y51" s="97"/>
    </row>
    <row r="52" spans="1:25" ht="63">
      <c r="A52" s="469"/>
      <c r="B52" s="469"/>
      <c r="C52" s="469"/>
      <c r="D52" s="106">
        <v>47</v>
      </c>
      <c r="E52" s="106" t="s">
        <v>83</v>
      </c>
      <c r="F52" s="121"/>
      <c r="G52" s="120"/>
      <c r="H52" s="120"/>
      <c r="I52" s="120"/>
      <c r="J52" s="116">
        <f t="shared" si="0"/>
        <v>0</v>
      </c>
      <c r="K52" s="120"/>
      <c r="L52" s="120"/>
      <c r="M52" s="120"/>
      <c r="N52" s="120"/>
      <c r="O52" s="120"/>
      <c r="P52" s="116">
        <f t="shared" si="1"/>
        <v>0</v>
      </c>
      <c r="Q52" s="120"/>
      <c r="R52" s="120"/>
      <c r="S52" s="120"/>
      <c r="T52" s="120"/>
      <c r="U52" s="120"/>
      <c r="V52" s="120"/>
      <c r="W52" s="117"/>
      <c r="X52" s="117">
        <f t="shared" si="2"/>
        <v>0</v>
      </c>
      <c r="Y52" s="135"/>
    </row>
    <row r="53" spans="1:25" ht="15.75">
      <c r="A53" s="469"/>
      <c r="B53" s="469"/>
      <c r="C53" s="469"/>
      <c r="D53" s="106">
        <v>48</v>
      </c>
      <c r="E53" s="106" t="s">
        <v>84</v>
      </c>
      <c r="F53" s="120"/>
      <c r="G53" s="120"/>
      <c r="H53" s="120"/>
      <c r="I53" s="120"/>
      <c r="J53" s="116">
        <f t="shared" si="0"/>
        <v>0</v>
      </c>
      <c r="K53" s="120"/>
      <c r="L53" s="120"/>
      <c r="M53" s="120"/>
      <c r="N53" s="120"/>
      <c r="O53" s="120"/>
      <c r="P53" s="116">
        <f t="shared" si="1"/>
        <v>0</v>
      </c>
      <c r="Q53" s="120"/>
      <c r="R53" s="120"/>
      <c r="S53" s="121"/>
      <c r="T53" s="121"/>
      <c r="U53" s="120"/>
      <c r="V53" s="120"/>
      <c r="W53" s="117"/>
      <c r="X53" s="117">
        <f t="shared" si="2"/>
        <v>0</v>
      </c>
      <c r="Y53" s="135"/>
    </row>
    <row r="54" spans="1:25" ht="63">
      <c r="A54" s="469"/>
      <c r="B54" s="469"/>
      <c r="C54" s="469"/>
      <c r="D54" s="106">
        <v>49</v>
      </c>
      <c r="E54" s="106" t="s">
        <v>85</v>
      </c>
      <c r="F54" s="120"/>
      <c r="G54" s="120"/>
      <c r="H54" s="120"/>
      <c r="I54" s="120"/>
      <c r="J54" s="116">
        <f t="shared" si="0"/>
        <v>0</v>
      </c>
      <c r="K54" s="120"/>
      <c r="L54" s="120"/>
      <c r="M54" s="120"/>
      <c r="N54" s="120"/>
      <c r="O54" s="120"/>
      <c r="P54" s="116">
        <f t="shared" si="1"/>
        <v>0</v>
      </c>
      <c r="Q54" s="120"/>
      <c r="R54" s="120"/>
      <c r="S54" s="120"/>
      <c r="T54" s="120"/>
      <c r="U54" s="120"/>
      <c r="V54" s="120"/>
      <c r="W54" s="117"/>
      <c r="X54" s="117">
        <f t="shared" si="2"/>
        <v>0</v>
      </c>
      <c r="Y54" s="135"/>
    </row>
    <row r="55" spans="1:25" ht="47.25">
      <c r="A55" s="469"/>
      <c r="B55" s="469"/>
      <c r="C55" s="469"/>
      <c r="D55" s="106">
        <v>50</v>
      </c>
      <c r="E55" s="106" t="s">
        <v>86</v>
      </c>
      <c r="F55" s="120"/>
      <c r="G55" s="120"/>
      <c r="H55" s="120"/>
      <c r="I55" s="120"/>
      <c r="J55" s="116">
        <f t="shared" si="0"/>
        <v>0</v>
      </c>
      <c r="K55" s="122"/>
      <c r="L55" s="122"/>
      <c r="M55" s="120"/>
      <c r="N55" s="120"/>
      <c r="O55" s="120"/>
      <c r="P55" s="116">
        <f t="shared" si="1"/>
        <v>0</v>
      </c>
      <c r="Q55" s="120"/>
      <c r="R55" s="120"/>
      <c r="S55" s="121"/>
      <c r="T55" s="121"/>
      <c r="U55" s="120"/>
      <c r="V55" s="120"/>
      <c r="W55" s="117"/>
      <c r="X55" s="117">
        <f t="shared" si="2"/>
        <v>0</v>
      </c>
      <c r="Y55" s="135"/>
    </row>
    <row r="56" spans="1:25" ht="47.25" hidden="1">
      <c r="A56" s="469"/>
      <c r="B56" s="469"/>
      <c r="C56" s="469"/>
      <c r="D56" s="106">
        <v>51</v>
      </c>
      <c r="E56" s="106" t="s">
        <v>44</v>
      </c>
      <c r="F56" s="120"/>
      <c r="G56" s="120"/>
      <c r="H56" s="120"/>
      <c r="I56" s="120"/>
      <c r="J56" s="116">
        <f t="shared" si="0"/>
        <v>0</v>
      </c>
      <c r="K56" s="120"/>
      <c r="L56" s="120"/>
      <c r="M56" s="120"/>
      <c r="N56" s="120"/>
      <c r="O56" s="120"/>
      <c r="P56" s="116">
        <f t="shared" si="1"/>
        <v>0</v>
      </c>
      <c r="Q56" s="120"/>
      <c r="R56" s="120"/>
      <c r="S56" s="120"/>
      <c r="T56" s="120"/>
      <c r="U56" s="120"/>
      <c r="V56" s="120"/>
      <c r="W56" s="117"/>
      <c r="X56" s="117">
        <f t="shared" si="2"/>
        <v>0</v>
      </c>
      <c r="Y56" s="97"/>
    </row>
    <row r="57" spans="1:25" ht="31.5">
      <c r="A57" s="469"/>
      <c r="B57" s="476" t="s">
        <v>87</v>
      </c>
      <c r="C57" s="476" t="s">
        <v>88</v>
      </c>
      <c r="D57" s="106">
        <v>52</v>
      </c>
      <c r="E57" s="106" t="s">
        <v>89</v>
      </c>
      <c r="F57" s="120"/>
      <c r="G57" s="120"/>
      <c r="H57" s="120"/>
      <c r="I57" s="120"/>
      <c r="J57" s="116">
        <f t="shared" si="0"/>
        <v>0</v>
      </c>
      <c r="K57" s="122"/>
      <c r="L57" s="122"/>
      <c r="M57" s="120"/>
      <c r="N57" s="120"/>
      <c r="O57" s="122"/>
      <c r="P57" s="117">
        <f t="shared" si="1"/>
        <v>0</v>
      </c>
      <c r="Q57" s="120"/>
      <c r="R57" s="120"/>
      <c r="S57" s="120"/>
      <c r="T57" s="120"/>
      <c r="U57" s="120"/>
      <c r="V57" s="120"/>
      <c r="W57" s="117"/>
      <c r="X57" s="117">
        <f t="shared" si="2"/>
        <v>0</v>
      </c>
      <c r="Y57" s="135"/>
    </row>
    <row r="58" spans="1:25" ht="31.5">
      <c r="A58" s="469"/>
      <c r="B58" s="469"/>
      <c r="C58" s="469"/>
      <c r="D58" s="106">
        <v>53</v>
      </c>
      <c r="E58" s="106" t="s">
        <v>90</v>
      </c>
      <c r="F58" s="120"/>
      <c r="G58" s="120"/>
      <c r="H58" s="120"/>
      <c r="I58" s="120"/>
      <c r="J58" s="116">
        <f t="shared" si="0"/>
        <v>0</v>
      </c>
      <c r="K58" s="120"/>
      <c r="L58" s="120"/>
      <c r="M58" s="120"/>
      <c r="N58" s="120"/>
      <c r="O58" s="122"/>
      <c r="P58" s="117">
        <f t="shared" si="1"/>
        <v>0</v>
      </c>
      <c r="Q58" s="120"/>
      <c r="R58" s="120"/>
      <c r="S58" s="120"/>
      <c r="T58" s="120"/>
      <c r="U58" s="120"/>
      <c r="V58" s="120"/>
      <c r="W58" s="117"/>
      <c r="X58" s="117">
        <f t="shared" si="2"/>
        <v>0</v>
      </c>
      <c r="Y58" s="135"/>
    </row>
    <row r="59" spans="1:25" ht="68.25" customHeight="1">
      <c r="A59" s="469"/>
      <c r="B59" s="469"/>
      <c r="C59" s="469"/>
      <c r="D59" s="106">
        <v>54</v>
      </c>
      <c r="E59" s="106" t="s">
        <v>91</v>
      </c>
      <c r="F59" s="120"/>
      <c r="G59" s="120"/>
      <c r="H59" s="120"/>
      <c r="I59" s="121"/>
      <c r="J59" s="125">
        <f t="shared" si="0"/>
        <v>0</v>
      </c>
      <c r="K59" s="120"/>
      <c r="L59" s="120"/>
      <c r="M59" s="120"/>
      <c r="N59" s="120"/>
      <c r="O59" s="120"/>
      <c r="P59" s="116">
        <f t="shared" si="1"/>
        <v>0</v>
      </c>
      <c r="Q59" s="120"/>
      <c r="R59" s="120"/>
      <c r="S59" s="121"/>
      <c r="T59" s="121">
        <v>6</v>
      </c>
      <c r="U59" s="115"/>
      <c r="V59" s="120"/>
      <c r="W59" s="117"/>
      <c r="X59" s="117">
        <f t="shared" si="2"/>
        <v>6</v>
      </c>
      <c r="Y59" s="135" t="s">
        <v>803</v>
      </c>
    </row>
    <row r="60" spans="1:25" ht="47.25">
      <c r="A60" s="469"/>
      <c r="B60" s="469"/>
      <c r="C60" s="469"/>
      <c r="D60" s="106">
        <v>55</v>
      </c>
      <c r="E60" s="106" t="s">
        <v>93</v>
      </c>
      <c r="F60" s="120"/>
      <c r="G60" s="120"/>
      <c r="H60" s="120"/>
      <c r="I60" s="120"/>
      <c r="J60" s="116">
        <f t="shared" si="0"/>
        <v>0</v>
      </c>
      <c r="K60" s="120"/>
      <c r="L60" s="120"/>
      <c r="M60" s="120"/>
      <c r="N60" s="120"/>
      <c r="O60" s="122"/>
      <c r="P60" s="117">
        <f t="shared" si="1"/>
        <v>0</v>
      </c>
      <c r="Q60" s="120"/>
      <c r="R60" s="120"/>
      <c r="S60" s="120"/>
      <c r="T60" s="120"/>
      <c r="U60" s="120"/>
      <c r="V60" s="120"/>
      <c r="W60" s="117"/>
      <c r="X60" s="117">
        <f t="shared" si="2"/>
        <v>0</v>
      </c>
      <c r="Y60" s="97"/>
    </row>
    <row r="61" spans="1:25" ht="63">
      <c r="A61" s="469"/>
      <c r="B61" s="469"/>
      <c r="C61" s="469"/>
      <c r="D61" s="106">
        <v>56</v>
      </c>
      <c r="E61" s="106" t="s">
        <v>94</v>
      </c>
      <c r="F61" s="120"/>
      <c r="G61" s="120"/>
      <c r="H61" s="120"/>
      <c r="I61" s="120"/>
      <c r="J61" s="116">
        <f t="shared" si="0"/>
        <v>0</v>
      </c>
      <c r="K61" s="120"/>
      <c r="L61" s="120"/>
      <c r="M61" s="120"/>
      <c r="N61" s="120"/>
      <c r="O61" s="120"/>
      <c r="P61" s="116">
        <f t="shared" si="1"/>
        <v>0</v>
      </c>
      <c r="Q61" s="120"/>
      <c r="R61" s="120"/>
      <c r="S61" s="120"/>
      <c r="T61" s="120"/>
      <c r="U61" s="120"/>
      <c r="V61" s="120"/>
      <c r="W61" s="117"/>
      <c r="X61" s="117">
        <f t="shared" si="2"/>
        <v>0</v>
      </c>
      <c r="Y61" s="135"/>
    </row>
    <row r="62" spans="1:25" ht="47.25">
      <c r="A62" s="469"/>
      <c r="B62" s="469"/>
      <c r="C62" s="469"/>
      <c r="D62" s="106">
        <v>57</v>
      </c>
      <c r="E62" s="106" t="s">
        <v>95</v>
      </c>
      <c r="F62" s="120"/>
      <c r="G62" s="120"/>
      <c r="H62" s="120"/>
      <c r="I62" s="121"/>
      <c r="J62" s="125">
        <f t="shared" si="0"/>
        <v>0</v>
      </c>
      <c r="K62" s="120"/>
      <c r="L62" s="120"/>
      <c r="M62" s="120"/>
      <c r="N62" s="120"/>
      <c r="O62" s="120"/>
      <c r="P62" s="116">
        <f t="shared" si="1"/>
        <v>0</v>
      </c>
      <c r="Q62" s="121"/>
      <c r="R62" s="121"/>
      <c r="S62" s="120"/>
      <c r="T62" s="120"/>
      <c r="U62" s="120"/>
      <c r="V62" s="120"/>
      <c r="W62" s="117"/>
      <c r="X62" s="117">
        <f t="shared" si="2"/>
        <v>0</v>
      </c>
      <c r="Y62" s="135"/>
    </row>
    <row r="63" spans="1:25" ht="63">
      <c r="A63" s="469"/>
      <c r="B63" s="469"/>
      <c r="C63" s="469"/>
      <c r="D63" s="106">
        <v>58</v>
      </c>
      <c r="E63" s="106" t="s">
        <v>97</v>
      </c>
      <c r="F63" s="120"/>
      <c r="G63" s="120"/>
      <c r="H63" s="120"/>
      <c r="I63" s="120"/>
      <c r="J63" s="116">
        <f t="shared" si="0"/>
        <v>0</v>
      </c>
      <c r="K63" s="120"/>
      <c r="L63" s="120"/>
      <c r="M63" s="120"/>
      <c r="N63" s="120"/>
      <c r="O63" s="122"/>
      <c r="P63" s="117">
        <f t="shared" si="1"/>
        <v>0</v>
      </c>
      <c r="Q63" s="120"/>
      <c r="R63" s="120"/>
      <c r="S63" s="120"/>
      <c r="T63" s="120"/>
      <c r="U63" s="120"/>
      <c r="V63" s="120"/>
      <c r="W63" s="117"/>
      <c r="X63" s="117">
        <f t="shared" si="2"/>
        <v>0</v>
      </c>
      <c r="Y63" s="135"/>
    </row>
    <row r="64" spans="1:25" ht="31.5">
      <c r="A64" s="469"/>
      <c r="B64" s="469"/>
      <c r="C64" s="469"/>
      <c r="D64" s="106">
        <v>59</v>
      </c>
      <c r="E64" s="106" t="s">
        <v>98</v>
      </c>
      <c r="F64" s="120"/>
      <c r="G64" s="120"/>
      <c r="H64" s="120"/>
      <c r="I64" s="120"/>
      <c r="J64" s="116">
        <f t="shared" si="0"/>
        <v>0</v>
      </c>
      <c r="K64" s="120"/>
      <c r="L64" s="120"/>
      <c r="M64" s="120"/>
      <c r="N64" s="120"/>
      <c r="O64" s="120"/>
      <c r="P64" s="116">
        <f t="shared" si="1"/>
        <v>0</v>
      </c>
      <c r="Q64" s="120"/>
      <c r="R64" s="120"/>
      <c r="S64" s="120"/>
      <c r="T64" s="120"/>
      <c r="U64" s="120"/>
      <c r="V64" s="120"/>
      <c r="W64" s="117"/>
      <c r="X64" s="117">
        <f t="shared" si="2"/>
        <v>0</v>
      </c>
      <c r="Y64" s="97"/>
    </row>
    <row r="65" spans="1:25" ht="47.25">
      <c r="A65" s="469"/>
      <c r="B65" s="469"/>
      <c r="C65" s="469"/>
      <c r="D65" s="106">
        <v>60</v>
      </c>
      <c r="E65" s="106" t="s">
        <v>99</v>
      </c>
      <c r="F65" s="120"/>
      <c r="G65" s="120"/>
      <c r="H65" s="120"/>
      <c r="I65" s="120"/>
      <c r="J65" s="116">
        <f t="shared" si="0"/>
        <v>0</v>
      </c>
      <c r="K65" s="120"/>
      <c r="L65" s="120"/>
      <c r="M65" s="120"/>
      <c r="N65" s="120"/>
      <c r="O65" s="120"/>
      <c r="P65" s="116">
        <f t="shared" si="1"/>
        <v>0</v>
      </c>
      <c r="Q65" s="120"/>
      <c r="R65" s="120"/>
      <c r="S65" s="120"/>
      <c r="T65" s="120"/>
      <c r="U65" s="120"/>
      <c r="V65" s="120"/>
      <c r="W65" s="117"/>
      <c r="X65" s="117">
        <f t="shared" si="2"/>
        <v>0</v>
      </c>
      <c r="Y65" s="97"/>
    </row>
    <row r="66" spans="1:25" ht="47.25" hidden="1">
      <c r="A66" s="469"/>
      <c r="B66" s="469"/>
      <c r="C66" s="469"/>
      <c r="D66" s="106">
        <v>61</v>
      </c>
      <c r="E66" s="106" t="s">
        <v>44</v>
      </c>
      <c r="F66" s="120"/>
      <c r="G66" s="120"/>
      <c r="H66" s="120"/>
      <c r="I66" s="120"/>
      <c r="J66" s="116">
        <f t="shared" si="0"/>
        <v>0</v>
      </c>
      <c r="K66" s="120"/>
      <c r="L66" s="120"/>
      <c r="M66" s="120"/>
      <c r="N66" s="120"/>
      <c r="O66" s="120"/>
      <c r="P66" s="116">
        <f t="shared" si="1"/>
        <v>0</v>
      </c>
      <c r="Q66" s="120"/>
      <c r="R66" s="120"/>
      <c r="S66" s="120"/>
      <c r="T66" s="120"/>
      <c r="U66" s="120"/>
      <c r="V66" s="120"/>
      <c r="W66" s="117"/>
      <c r="X66" s="117">
        <f t="shared" si="2"/>
        <v>0</v>
      </c>
      <c r="Y66" s="97"/>
    </row>
    <row r="67" spans="1:25" ht="31.5" customHeight="1">
      <c r="A67" s="469"/>
      <c r="B67" s="106" t="s">
        <v>100</v>
      </c>
      <c r="C67" s="106" t="s">
        <v>101</v>
      </c>
      <c r="D67" s="106">
        <v>62</v>
      </c>
      <c r="E67" s="106" t="s">
        <v>102</v>
      </c>
      <c r="F67" s="120"/>
      <c r="G67" s="120"/>
      <c r="H67" s="120"/>
      <c r="I67" s="120"/>
      <c r="J67" s="116">
        <f t="shared" si="0"/>
        <v>0</v>
      </c>
      <c r="K67" s="120"/>
      <c r="L67" s="120"/>
      <c r="M67" s="120"/>
      <c r="N67" s="120"/>
      <c r="O67" s="120"/>
      <c r="P67" s="116">
        <f t="shared" si="1"/>
        <v>0</v>
      </c>
      <c r="Q67" s="122"/>
      <c r="R67" s="122"/>
      <c r="S67" s="121"/>
      <c r="T67" s="121"/>
      <c r="U67" s="121"/>
      <c r="V67" s="121"/>
      <c r="W67" s="117"/>
      <c r="X67" s="117">
        <f t="shared" si="2"/>
        <v>0</v>
      </c>
      <c r="Y67" s="135"/>
    </row>
    <row r="68" spans="1:25" ht="45" customHeight="1">
      <c r="A68" s="469"/>
      <c r="B68" s="478" t="s">
        <v>103</v>
      </c>
      <c r="C68" s="469"/>
      <c r="D68" s="469"/>
      <c r="E68" s="99"/>
      <c r="F68" s="102">
        <f t="shared" ref="F68:W68" si="3">SUM(F6:F67)</f>
        <v>48.050820000000002</v>
      </c>
      <c r="G68" s="102">
        <f t="shared" si="3"/>
        <v>0</v>
      </c>
      <c r="H68" s="102">
        <f t="shared" si="3"/>
        <v>0</v>
      </c>
      <c r="I68" s="102">
        <f t="shared" si="3"/>
        <v>0</v>
      </c>
      <c r="J68" s="102">
        <f t="shared" si="3"/>
        <v>0</v>
      </c>
      <c r="K68" s="102">
        <f t="shared" si="3"/>
        <v>0</v>
      </c>
      <c r="L68" s="102">
        <f t="shared" si="3"/>
        <v>3.76</v>
      </c>
      <c r="M68" s="102">
        <f t="shared" si="3"/>
        <v>0</v>
      </c>
      <c r="N68" s="102">
        <f t="shared" si="3"/>
        <v>0</v>
      </c>
      <c r="O68" s="102">
        <f t="shared" si="3"/>
        <v>54.168700000000001</v>
      </c>
      <c r="P68" s="102">
        <f t="shared" si="3"/>
        <v>54.168700000000001</v>
      </c>
      <c r="Q68" s="102">
        <f t="shared" si="3"/>
        <v>0</v>
      </c>
      <c r="R68" s="102">
        <f t="shared" si="3"/>
        <v>90.063199999999995</v>
      </c>
      <c r="S68" s="102">
        <f t="shared" si="3"/>
        <v>0</v>
      </c>
      <c r="T68" s="102">
        <f t="shared" si="3"/>
        <v>345.74190000000004</v>
      </c>
      <c r="U68" s="102">
        <f t="shared" si="3"/>
        <v>0</v>
      </c>
      <c r="V68" s="102">
        <f t="shared" si="3"/>
        <v>0</v>
      </c>
      <c r="W68" s="102">
        <f t="shared" si="3"/>
        <v>0</v>
      </c>
      <c r="X68" s="102">
        <f t="shared" si="2"/>
        <v>541.78462000000002</v>
      </c>
      <c r="Y68" s="135"/>
    </row>
    <row r="69" spans="1:25" ht="81.75" customHeight="1">
      <c r="A69" s="477" t="s">
        <v>104</v>
      </c>
      <c r="B69" s="106" t="s">
        <v>105</v>
      </c>
      <c r="C69" s="106" t="s">
        <v>106</v>
      </c>
      <c r="D69" s="106">
        <v>63</v>
      </c>
      <c r="E69" s="106" t="s">
        <v>107</v>
      </c>
      <c r="F69" s="120"/>
      <c r="G69" s="120"/>
      <c r="H69" s="120"/>
      <c r="I69" s="120"/>
      <c r="J69" s="116">
        <f t="shared" ref="J69:J79" si="4">H69+I69</f>
        <v>0</v>
      </c>
      <c r="K69" s="120"/>
      <c r="L69" s="120"/>
      <c r="M69" s="120"/>
      <c r="N69" s="120"/>
      <c r="O69" s="120"/>
      <c r="P69" s="116">
        <f t="shared" ref="P69:P78" si="5">N69+O69</f>
        <v>0</v>
      </c>
      <c r="Q69" s="121"/>
      <c r="R69" s="121"/>
      <c r="S69" s="122"/>
      <c r="T69" s="122"/>
      <c r="U69" s="125"/>
      <c r="V69" s="125">
        <v>1.5</v>
      </c>
      <c r="W69" s="117" t="s">
        <v>386</v>
      </c>
      <c r="X69" s="117">
        <f t="shared" si="2"/>
        <v>1.5</v>
      </c>
      <c r="Y69" s="135" t="s">
        <v>962</v>
      </c>
    </row>
    <row r="70" spans="1:25" ht="204.75">
      <c r="A70" s="469"/>
      <c r="B70" s="476" t="s">
        <v>108</v>
      </c>
      <c r="C70" s="476" t="s">
        <v>109</v>
      </c>
      <c r="D70" s="106">
        <v>64</v>
      </c>
      <c r="E70" s="106" t="s">
        <v>110</v>
      </c>
      <c r="F70" s="120"/>
      <c r="G70" s="120"/>
      <c r="H70" s="120"/>
      <c r="I70" s="121"/>
      <c r="J70" s="125">
        <f t="shared" si="4"/>
        <v>0</v>
      </c>
      <c r="K70" s="122"/>
      <c r="L70" s="122">
        <v>0</v>
      </c>
      <c r="M70" s="120"/>
      <c r="N70" s="120"/>
      <c r="O70" s="122">
        <v>0.39</v>
      </c>
      <c r="P70" s="117">
        <f t="shared" si="5"/>
        <v>0.39</v>
      </c>
      <c r="Q70" s="166"/>
      <c r="R70" s="120">
        <v>0</v>
      </c>
      <c r="S70" s="122"/>
      <c r="T70" s="122">
        <v>1</v>
      </c>
      <c r="U70" s="137"/>
      <c r="V70" s="121">
        <v>0.35</v>
      </c>
      <c r="W70" s="117"/>
      <c r="X70" s="117">
        <f t="shared" si="2"/>
        <v>1.7400000000000002</v>
      </c>
      <c r="Y70" s="135" t="s">
        <v>1051</v>
      </c>
    </row>
    <row r="71" spans="1:25" ht="346.5">
      <c r="A71" s="469"/>
      <c r="B71" s="469"/>
      <c r="C71" s="469"/>
      <c r="D71" s="106">
        <v>65</v>
      </c>
      <c r="E71" s="106" t="s">
        <v>111</v>
      </c>
      <c r="F71" s="120"/>
      <c r="G71" s="120"/>
      <c r="H71" s="120"/>
      <c r="I71" s="120"/>
      <c r="J71" s="116">
        <f t="shared" si="4"/>
        <v>0</v>
      </c>
      <c r="K71" s="120"/>
      <c r="L71" s="120"/>
      <c r="M71" s="120"/>
      <c r="N71" s="120"/>
      <c r="O71" s="120"/>
      <c r="P71" s="116">
        <f t="shared" si="5"/>
        <v>0</v>
      </c>
      <c r="Q71" s="120"/>
      <c r="R71" s="120"/>
      <c r="S71" s="121"/>
      <c r="T71" s="121">
        <v>0.25</v>
      </c>
      <c r="U71" s="121"/>
      <c r="V71" s="121"/>
      <c r="W71" s="117"/>
      <c r="X71" s="117">
        <f t="shared" si="2"/>
        <v>0.25</v>
      </c>
      <c r="Y71" s="135" t="s">
        <v>1052</v>
      </c>
    </row>
    <row r="72" spans="1:25" ht="126">
      <c r="A72" s="469"/>
      <c r="B72" s="469"/>
      <c r="C72" s="469"/>
      <c r="D72" s="106">
        <v>66</v>
      </c>
      <c r="E72" s="106" t="s">
        <v>112</v>
      </c>
      <c r="F72" s="120"/>
      <c r="G72" s="120"/>
      <c r="H72" s="120"/>
      <c r="I72" s="120"/>
      <c r="J72" s="116">
        <f t="shared" si="4"/>
        <v>0</v>
      </c>
      <c r="K72" s="120"/>
      <c r="L72" s="120"/>
      <c r="M72" s="120"/>
      <c r="N72" s="120"/>
      <c r="O72" s="122"/>
      <c r="P72" s="117">
        <f t="shared" si="5"/>
        <v>0</v>
      </c>
      <c r="Q72" s="120"/>
      <c r="R72" s="120"/>
      <c r="S72" s="121"/>
      <c r="T72" s="121">
        <v>0.09</v>
      </c>
      <c r="U72" s="120"/>
      <c r="V72" s="120"/>
      <c r="W72" s="117"/>
      <c r="X72" s="117">
        <f t="shared" si="2"/>
        <v>0.09</v>
      </c>
      <c r="Y72" s="135" t="s">
        <v>1053</v>
      </c>
    </row>
    <row r="73" spans="1:25" ht="220.5">
      <c r="A73" s="469"/>
      <c r="B73" s="469"/>
      <c r="C73" s="469"/>
      <c r="D73" s="106">
        <v>67</v>
      </c>
      <c r="E73" s="106" t="s">
        <v>113</v>
      </c>
      <c r="F73" s="120"/>
      <c r="G73" s="120"/>
      <c r="H73" s="120"/>
      <c r="I73" s="120"/>
      <c r="J73" s="116">
        <f t="shared" si="4"/>
        <v>0</v>
      </c>
      <c r="K73" s="120"/>
      <c r="L73" s="120"/>
      <c r="M73" s="120"/>
      <c r="N73" s="120"/>
      <c r="O73" s="122"/>
      <c r="P73" s="117">
        <f t="shared" si="5"/>
        <v>0</v>
      </c>
      <c r="Q73" s="120"/>
      <c r="R73" s="120"/>
      <c r="S73" s="121"/>
      <c r="T73" s="121">
        <v>34.49</v>
      </c>
      <c r="U73" s="121"/>
      <c r="V73" s="121">
        <v>1</v>
      </c>
      <c r="W73" s="117"/>
      <c r="X73" s="117">
        <f t="shared" si="2"/>
        <v>35.49</v>
      </c>
      <c r="Y73" s="135" t="s">
        <v>1065</v>
      </c>
    </row>
    <row r="74" spans="1:25" ht="167.25" customHeight="1">
      <c r="A74" s="469"/>
      <c r="B74" s="469"/>
      <c r="C74" s="469"/>
      <c r="D74" s="106">
        <v>68</v>
      </c>
      <c r="E74" s="106" t="s">
        <v>114</v>
      </c>
      <c r="F74" s="121"/>
      <c r="G74" s="120"/>
      <c r="H74" s="120"/>
      <c r="I74" s="120"/>
      <c r="J74" s="116">
        <f t="shared" si="4"/>
        <v>0</v>
      </c>
      <c r="K74" s="122"/>
      <c r="L74" s="122"/>
      <c r="M74" s="120"/>
      <c r="N74" s="120"/>
      <c r="O74" s="122"/>
      <c r="P74" s="117">
        <f t="shared" si="5"/>
        <v>0</v>
      </c>
      <c r="Q74" s="120"/>
      <c r="R74" s="120"/>
      <c r="S74" s="121"/>
      <c r="T74" s="121">
        <v>4.5599999999999996</v>
      </c>
      <c r="U74" s="121"/>
      <c r="V74" s="121">
        <v>7.5</v>
      </c>
      <c r="W74" s="117"/>
      <c r="X74" s="117">
        <f t="shared" si="2"/>
        <v>12.059999999999999</v>
      </c>
      <c r="Y74" s="135" t="s">
        <v>1066</v>
      </c>
    </row>
    <row r="75" spans="1:25" ht="409.5">
      <c r="A75" s="469"/>
      <c r="B75" s="476" t="s">
        <v>115</v>
      </c>
      <c r="C75" s="476" t="s">
        <v>116</v>
      </c>
      <c r="D75" s="106">
        <v>69</v>
      </c>
      <c r="E75" s="106" t="s">
        <v>117</v>
      </c>
      <c r="F75" s="138"/>
      <c r="G75" s="138"/>
      <c r="H75" s="138"/>
      <c r="I75" s="138"/>
      <c r="J75" s="116">
        <f t="shared" si="4"/>
        <v>0</v>
      </c>
      <c r="K75" s="138"/>
      <c r="L75" s="138"/>
      <c r="M75" s="138"/>
      <c r="N75" s="138"/>
      <c r="O75" s="138"/>
      <c r="P75" s="116">
        <f t="shared" si="5"/>
        <v>0</v>
      </c>
      <c r="Q75" s="140"/>
      <c r="R75" s="140">
        <v>0.2</v>
      </c>
      <c r="S75" s="140"/>
      <c r="T75" s="140">
        <f>1.4+95.8+4.79+1.2+1.437+0.479+1.5+8</f>
        <v>114.60600000000001</v>
      </c>
      <c r="U75" s="138"/>
      <c r="V75" s="138"/>
      <c r="W75" s="117"/>
      <c r="X75" s="117">
        <f t="shared" si="2"/>
        <v>114.80600000000001</v>
      </c>
      <c r="Y75" s="224" t="s">
        <v>1046</v>
      </c>
    </row>
    <row r="76" spans="1:25" ht="204.75">
      <c r="A76" s="469"/>
      <c r="B76" s="469"/>
      <c r="C76" s="469"/>
      <c r="D76" s="106">
        <v>70</v>
      </c>
      <c r="E76" s="106" t="s">
        <v>118</v>
      </c>
      <c r="F76" s="140"/>
      <c r="G76" s="138"/>
      <c r="H76" s="138"/>
      <c r="I76" s="138"/>
      <c r="J76" s="116">
        <f t="shared" si="4"/>
        <v>0</v>
      </c>
      <c r="K76" s="142"/>
      <c r="L76" s="142">
        <v>0.28999999999999998</v>
      </c>
      <c r="M76" s="138"/>
      <c r="N76" s="138"/>
      <c r="O76" s="138"/>
      <c r="P76" s="116">
        <f t="shared" si="5"/>
        <v>0</v>
      </c>
      <c r="Q76" s="138"/>
      <c r="R76" s="138"/>
      <c r="S76" s="140"/>
      <c r="T76" s="140">
        <v>1.1000000000000001</v>
      </c>
      <c r="U76" s="138"/>
      <c r="V76" s="138"/>
      <c r="W76" s="117"/>
      <c r="X76" s="117">
        <f t="shared" si="2"/>
        <v>1.3900000000000001</v>
      </c>
      <c r="Y76" s="224" t="s">
        <v>921</v>
      </c>
    </row>
    <row r="77" spans="1:25" ht="15.75">
      <c r="A77" s="469"/>
      <c r="B77" s="469"/>
      <c r="C77" s="469"/>
      <c r="D77" s="106">
        <v>71</v>
      </c>
      <c r="E77" s="106" t="s">
        <v>119</v>
      </c>
      <c r="F77" s="138"/>
      <c r="G77" s="138"/>
      <c r="H77" s="138"/>
      <c r="I77" s="138"/>
      <c r="J77" s="116">
        <f t="shared" si="4"/>
        <v>0</v>
      </c>
      <c r="K77" s="138"/>
      <c r="L77" s="138"/>
      <c r="M77" s="138"/>
      <c r="N77" s="138"/>
      <c r="O77" s="138"/>
      <c r="P77" s="116">
        <f t="shared" si="5"/>
        <v>0</v>
      </c>
      <c r="Q77" s="138"/>
      <c r="R77" s="138"/>
      <c r="S77" s="138"/>
      <c r="T77" s="138"/>
      <c r="U77" s="138"/>
      <c r="V77" s="138"/>
      <c r="W77" s="117"/>
      <c r="X77" s="117">
        <f t="shared" si="2"/>
        <v>0</v>
      </c>
      <c r="Y77" s="135"/>
    </row>
    <row r="78" spans="1:25" ht="31.5">
      <c r="A78" s="469"/>
      <c r="B78" s="469"/>
      <c r="C78" s="469"/>
      <c r="D78" s="106">
        <v>72</v>
      </c>
      <c r="E78" s="106" t="s">
        <v>120</v>
      </c>
      <c r="F78" s="138"/>
      <c r="G78" s="138"/>
      <c r="H78" s="138"/>
      <c r="I78" s="143"/>
      <c r="J78" s="116">
        <f t="shared" si="4"/>
        <v>0</v>
      </c>
      <c r="K78" s="143"/>
      <c r="L78" s="143"/>
      <c r="M78" s="143"/>
      <c r="N78" s="143"/>
      <c r="O78" s="144"/>
      <c r="P78" s="145">
        <f t="shared" si="5"/>
        <v>0</v>
      </c>
      <c r="Q78" s="146"/>
      <c r="R78" s="146"/>
      <c r="S78" s="125"/>
      <c r="T78" s="125"/>
      <c r="U78" s="143"/>
      <c r="V78" s="143"/>
      <c r="W78" s="117"/>
      <c r="X78" s="117">
        <f t="shared" si="2"/>
        <v>0</v>
      </c>
      <c r="Y78" s="135"/>
    </row>
    <row r="79" spans="1:25" ht="409.5">
      <c r="A79" s="469"/>
      <c r="B79" s="476" t="s">
        <v>121</v>
      </c>
      <c r="C79" s="476" t="s">
        <v>122</v>
      </c>
      <c r="D79" s="106">
        <v>73</v>
      </c>
      <c r="E79" s="106" t="s">
        <v>123</v>
      </c>
      <c r="F79" s="147">
        <v>2.4</v>
      </c>
      <c r="G79" s="147"/>
      <c r="H79" s="147"/>
      <c r="I79" s="147">
        <v>0.4</v>
      </c>
      <c r="J79" s="148">
        <f t="shared" si="4"/>
        <v>0.4</v>
      </c>
      <c r="K79" s="147"/>
      <c r="L79" s="147">
        <v>1.3</v>
      </c>
      <c r="M79" s="147"/>
      <c r="N79" s="147"/>
      <c r="O79" s="147">
        <v>2.8</v>
      </c>
      <c r="P79" s="149">
        <f>O79</f>
        <v>2.8</v>
      </c>
      <c r="Q79" s="147"/>
      <c r="R79" s="147">
        <v>10</v>
      </c>
      <c r="S79" s="147"/>
      <c r="T79" s="147">
        <v>1.1000000000000001</v>
      </c>
      <c r="U79" s="147"/>
      <c r="V79" s="147">
        <v>0.5</v>
      </c>
      <c r="W79" s="117"/>
      <c r="X79" s="117">
        <f t="shared" si="2"/>
        <v>18.5</v>
      </c>
      <c r="Y79" s="97" t="s">
        <v>1119</v>
      </c>
    </row>
    <row r="80" spans="1:25" ht="78.75">
      <c r="A80" s="469"/>
      <c r="B80" s="469"/>
      <c r="C80" s="469"/>
      <c r="D80" s="106">
        <v>74</v>
      </c>
      <c r="E80" s="106" t="s">
        <v>124</v>
      </c>
      <c r="F80" s="147">
        <v>72</v>
      </c>
      <c r="G80" s="147"/>
      <c r="H80" s="147"/>
      <c r="I80" s="150"/>
      <c r="J80" s="140"/>
      <c r="K80" s="150"/>
      <c r="L80" s="150"/>
      <c r="M80" s="150"/>
      <c r="N80" s="150"/>
      <c r="O80" s="150"/>
      <c r="P80" s="140"/>
      <c r="Q80" s="150"/>
      <c r="R80" s="150"/>
      <c r="S80" s="150"/>
      <c r="T80" s="150"/>
      <c r="U80" s="150"/>
      <c r="V80" s="150"/>
      <c r="W80" s="117"/>
      <c r="X80" s="117">
        <f t="shared" si="2"/>
        <v>72</v>
      </c>
      <c r="Y80" s="97" t="s">
        <v>1120</v>
      </c>
    </row>
    <row r="81" spans="1:25" ht="252">
      <c r="A81" s="469"/>
      <c r="B81" s="469"/>
      <c r="C81" s="469"/>
      <c r="D81" s="106">
        <v>75</v>
      </c>
      <c r="E81" s="106" t="s">
        <v>125</v>
      </c>
      <c r="F81" s="147">
        <v>1.9</v>
      </c>
      <c r="G81" s="150"/>
      <c r="H81" s="147"/>
      <c r="I81" s="150"/>
      <c r="J81" s="140">
        <v>0</v>
      </c>
      <c r="K81" s="150"/>
      <c r="L81" s="150"/>
      <c r="M81" s="150"/>
      <c r="N81" s="150"/>
      <c r="O81" s="150"/>
      <c r="P81" s="140"/>
      <c r="Q81" s="150"/>
      <c r="R81" s="150"/>
      <c r="S81" s="147"/>
      <c r="T81" s="147">
        <v>2</v>
      </c>
      <c r="U81" s="150"/>
      <c r="V81" s="150"/>
      <c r="W81" s="117"/>
      <c r="X81" s="117">
        <f t="shared" si="2"/>
        <v>3.9</v>
      </c>
      <c r="Y81" s="97" t="s">
        <v>1121</v>
      </c>
    </row>
    <row r="82" spans="1:25" ht="173.25">
      <c r="A82" s="469"/>
      <c r="B82" s="469"/>
      <c r="C82" s="469"/>
      <c r="D82" s="106">
        <v>76</v>
      </c>
      <c r="E82" s="106" t="s">
        <v>126</v>
      </c>
      <c r="F82" s="150">
        <v>2.1</v>
      </c>
      <c r="G82" s="150"/>
      <c r="H82" s="150"/>
      <c r="I82" s="150"/>
      <c r="J82" s="140">
        <v>0</v>
      </c>
      <c r="K82" s="150"/>
      <c r="L82" s="150"/>
      <c r="M82" s="150"/>
      <c r="N82" s="150"/>
      <c r="O82" s="147"/>
      <c r="P82" s="140"/>
      <c r="Q82" s="147"/>
      <c r="R82" s="147">
        <v>1.4</v>
      </c>
      <c r="S82" s="150"/>
      <c r="T82" s="150"/>
      <c r="U82" s="150"/>
      <c r="V82" s="150"/>
      <c r="W82" s="117"/>
      <c r="X82" s="117">
        <f t="shared" si="2"/>
        <v>3.5</v>
      </c>
      <c r="Y82" s="97" t="s">
        <v>1122</v>
      </c>
    </row>
    <row r="83" spans="1:25" ht="330.75">
      <c r="A83" s="469"/>
      <c r="B83" s="469"/>
      <c r="C83" s="469"/>
      <c r="D83" s="106">
        <v>77</v>
      </c>
      <c r="E83" s="106" t="s">
        <v>127</v>
      </c>
      <c r="F83" s="147">
        <v>0.5</v>
      </c>
      <c r="G83" s="147"/>
      <c r="H83" s="147"/>
      <c r="I83" s="147">
        <v>0.25</v>
      </c>
      <c r="J83" s="149">
        <f>I83</f>
        <v>0.25</v>
      </c>
      <c r="K83" s="147"/>
      <c r="L83" s="147">
        <v>3.97</v>
      </c>
      <c r="M83" s="150"/>
      <c r="N83" s="150"/>
      <c r="O83" s="147">
        <v>1</v>
      </c>
      <c r="P83" s="149">
        <f>O83</f>
        <v>1</v>
      </c>
      <c r="Q83" s="147"/>
      <c r="R83" s="147"/>
      <c r="S83" s="150"/>
      <c r="T83" s="150"/>
      <c r="U83" s="147"/>
      <c r="V83" s="147"/>
      <c r="W83" s="117"/>
      <c r="X83" s="117">
        <f>P83+L83+I83+F83</f>
        <v>5.7200000000000006</v>
      </c>
      <c r="Y83" s="97" t="s">
        <v>1123</v>
      </c>
    </row>
    <row r="84" spans="1:25" ht="47.25">
      <c r="A84" s="469"/>
      <c r="B84" s="469"/>
      <c r="C84" s="469"/>
      <c r="D84" s="106">
        <v>78</v>
      </c>
      <c r="E84" s="106" t="s">
        <v>128</v>
      </c>
      <c r="F84" s="150"/>
      <c r="G84" s="150"/>
      <c r="H84" s="150"/>
      <c r="I84" s="150"/>
      <c r="J84" s="116">
        <f>H84+I84</f>
        <v>0</v>
      </c>
      <c r="K84" s="150"/>
      <c r="L84" s="150"/>
      <c r="M84" s="150"/>
      <c r="N84" s="150"/>
      <c r="O84" s="150"/>
      <c r="P84" s="116">
        <f>N84+O84</f>
        <v>0</v>
      </c>
      <c r="Q84" s="150"/>
      <c r="R84" s="150"/>
      <c r="S84" s="150"/>
      <c r="T84" s="150"/>
      <c r="U84" s="150"/>
      <c r="V84" s="150"/>
      <c r="W84" s="117"/>
      <c r="X84" s="117">
        <f>F84+J84+L84+P84+R84+T84+V84</f>
        <v>0</v>
      </c>
      <c r="Y84" s="97"/>
    </row>
    <row r="85" spans="1:25" ht="15" hidden="1" customHeight="1">
      <c r="A85" s="469"/>
      <c r="B85" s="469"/>
      <c r="C85" s="469"/>
      <c r="D85" s="106">
        <v>79</v>
      </c>
      <c r="E85" s="106" t="s">
        <v>44</v>
      </c>
      <c r="F85" s="151"/>
      <c r="G85" s="151"/>
      <c r="H85" s="151"/>
      <c r="I85" s="151"/>
      <c r="J85" s="116">
        <f t="shared" ref="J85:J92" si="6">H85+I85</f>
        <v>0</v>
      </c>
      <c r="K85" s="151"/>
      <c r="L85" s="151"/>
      <c r="M85" s="151"/>
      <c r="N85" s="151"/>
      <c r="O85" s="151"/>
      <c r="P85" s="116">
        <f t="shared" ref="P85:P92" si="7">N85+O85</f>
        <v>0</v>
      </c>
      <c r="Q85" s="151"/>
      <c r="R85" s="151"/>
      <c r="S85" s="151"/>
      <c r="T85" s="151"/>
      <c r="U85" s="151"/>
      <c r="V85" s="151"/>
      <c r="W85" s="117"/>
      <c r="X85" s="117">
        <f t="shared" si="2"/>
        <v>0</v>
      </c>
      <c r="Y85" s="97"/>
    </row>
    <row r="86" spans="1:25" ht="15.75">
      <c r="A86" s="469"/>
      <c r="B86" s="476" t="s">
        <v>129</v>
      </c>
      <c r="C86" s="476" t="s">
        <v>130</v>
      </c>
      <c r="D86" s="106">
        <v>80</v>
      </c>
      <c r="E86" s="106" t="s">
        <v>131</v>
      </c>
      <c r="F86" s="120"/>
      <c r="G86" s="120"/>
      <c r="H86" s="120"/>
      <c r="I86" s="120"/>
      <c r="J86" s="116">
        <f t="shared" si="6"/>
        <v>0</v>
      </c>
      <c r="K86" s="120"/>
      <c r="L86" s="120"/>
      <c r="M86" s="120"/>
      <c r="N86" s="120"/>
      <c r="O86" s="152"/>
      <c r="P86" s="145">
        <f t="shared" si="7"/>
        <v>0</v>
      </c>
      <c r="Q86" s="122"/>
      <c r="R86" s="122"/>
      <c r="S86" s="121"/>
      <c r="T86" s="121"/>
      <c r="U86" s="120"/>
      <c r="V86" s="120"/>
      <c r="W86" s="117"/>
      <c r="X86" s="117">
        <f t="shared" si="2"/>
        <v>0</v>
      </c>
      <c r="Y86" s="97"/>
    </row>
    <row r="87" spans="1:25" ht="63">
      <c r="A87" s="469"/>
      <c r="B87" s="469"/>
      <c r="C87" s="469"/>
      <c r="D87" s="106">
        <v>81</v>
      </c>
      <c r="E87" s="106" t="s">
        <v>132</v>
      </c>
      <c r="F87" s="120"/>
      <c r="G87" s="120"/>
      <c r="H87" s="120"/>
      <c r="I87" s="120"/>
      <c r="J87" s="116">
        <f t="shared" si="6"/>
        <v>0</v>
      </c>
      <c r="K87" s="120"/>
      <c r="L87" s="120"/>
      <c r="M87" s="120"/>
      <c r="N87" s="120"/>
      <c r="O87" s="120"/>
      <c r="P87" s="116">
        <f t="shared" si="7"/>
        <v>0</v>
      </c>
      <c r="Q87" s="122"/>
      <c r="R87" s="122"/>
      <c r="S87" s="121"/>
      <c r="T87" s="121"/>
      <c r="U87" s="120"/>
      <c r="V87" s="120"/>
      <c r="W87" s="117"/>
      <c r="X87" s="117">
        <f t="shared" si="2"/>
        <v>0</v>
      </c>
      <c r="Y87" s="97"/>
    </row>
    <row r="88" spans="1:25" ht="78.75">
      <c r="A88" s="469"/>
      <c r="B88" s="469"/>
      <c r="C88" s="469"/>
      <c r="D88" s="106">
        <v>82</v>
      </c>
      <c r="E88" s="223" t="s">
        <v>133</v>
      </c>
      <c r="F88" s="120"/>
      <c r="G88" s="120"/>
      <c r="H88" s="120"/>
      <c r="I88" s="120"/>
      <c r="J88" s="116">
        <f t="shared" si="6"/>
        <v>0</v>
      </c>
      <c r="K88" s="120"/>
      <c r="L88" s="120"/>
      <c r="M88" s="120"/>
      <c r="N88" s="120"/>
      <c r="O88" s="120"/>
      <c r="P88" s="116">
        <f t="shared" si="7"/>
        <v>0</v>
      </c>
      <c r="Q88" s="120"/>
      <c r="R88" s="120">
        <v>0</v>
      </c>
      <c r="S88" s="121"/>
      <c r="T88" s="121">
        <v>0.1</v>
      </c>
      <c r="U88" s="120"/>
      <c r="V88" s="120"/>
      <c r="W88" s="117"/>
      <c r="X88" s="117">
        <f t="shared" si="2"/>
        <v>0.1</v>
      </c>
      <c r="Y88" s="250" t="s">
        <v>957</v>
      </c>
    </row>
    <row r="89" spans="1:25" ht="31.5">
      <c r="A89" s="469"/>
      <c r="B89" s="469"/>
      <c r="C89" s="469"/>
      <c r="D89" s="106">
        <v>83</v>
      </c>
      <c r="E89" s="106" t="s">
        <v>134</v>
      </c>
      <c r="F89" s="120"/>
      <c r="G89" s="120"/>
      <c r="H89" s="120"/>
      <c r="I89" s="120"/>
      <c r="J89" s="116">
        <f t="shared" si="6"/>
        <v>0</v>
      </c>
      <c r="K89" s="120"/>
      <c r="L89" s="120"/>
      <c r="M89" s="120"/>
      <c r="N89" s="120"/>
      <c r="O89" s="122">
        <v>0.5</v>
      </c>
      <c r="P89" s="117">
        <f t="shared" si="7"/>
        <v>0.5</v>
      </c>
      <c r="Q89" s="121"/>
      <c r="R89" s="121"/>
      <c r="S89" s="121"/>
      <c r="T89" s="121">
        <v>0</v>
      </c>
      <c r="U89" s="120"/>
      <c r="V89" s="120"/>
      <c r="W89" s="117"/>
      <c r="X89" s="117">
        <f t="shared" si="2"/>
        <v>0.5</v>
      </c>
      <c r="Y89" s="97" t="s">
        <v>956</v>
      </c>
    </row>
    <row r="90" spans="1:25" ht="78.75">
      <c r="A90" s="469"/>
      <c r="B90" s="106" t="s">
        <v>135</v>
      </c>
      <c r="C90" s="106" t="s">
        <v>136</v>
      </c>
      <c r="D90" s="106">
        <v>84</v>
      </c>
      <c r="E90" s="106" t="s">
        <v>137</v>
      </c>
      <c r="F90" s="120"/>
      <c r="G90" s="120"/>
      <c r="H90" s="120"/>
      <c r="I90" s="120"/>
      <c r="J90" s="116">
        <f t="shared" si="6"/>
        <v>0</v>
      </c>
      <c r="K90" s="122"/>
      <c r="L90" s="122"/>
      <c r="M90" s="120"/>
      <c r="N90" s="120"/>
      <c r="O90" s="122"/>
      <c r="P90" s="117">
        <f t="shared" si="7"/>
        <v>0</v>
      </c>
      <c r="Q90" s="120"/>
      <c r="R90" s="120"/>
      <c r="S90" s="120"/>
      <c r="T90" s="120"/>
      <c r="U90" s="120"/>
      <c r="V90" s="120"/>
      <c r="W90" s="117"/>
      <c r="X90" s="117">
        <f t="shared" si="2"/>
        <v>0</v>
      </c>
      <c r="Y90" s="97"/>
    </row>
    <row r="91" spans="1:25" ht="110.25">
      <c r="A91" s="469"/>
      <c r="B91" s="106" t="s">
        <v>138</v>
      </c>
      <c r="C91" s="106" t="s">
        <v>139</v>
      </c>
      <c r="D91" s="106">
        <v>85</v>
      </c>
      <c r="E91" s="106" t="s">
        <v>140</v>
      </c>
      <c r="F91" s="120"/>
      <c r="G91" s="120"/>
      <c r="H91" s="120"/>
      <c r="I91" s="120"/>
      <c r="J91" s="116">
        <f t="shared" si="6"/>
        <v>0</v>
      </c>
      <c r="K91" s="120"/>
      <c r="L91" s="120"/>
      <c r="M91" s="120"/>
      <c r="N91" s="120"/>
      <c r="O91" s="122"/>
      <c r="P91" s="117">
        <f t="shared" si="7"/>
        <v>0</v>
      </c>
      <c r="Q91" s="120"/>
      <c r="R91" s="120"/>
      <c r="S91" s="120"/>
      <c r="T91" s="120"/>
      <c r="U91" s="120"/>
      <c r="V91" s="120"/>
      <c r="W91" s="117"/>
      <c r="X91" s="117">
        <f t="shared" si="2"/>
        <v>0</v>
      </c>
      <c r="Y91" s="97"/>
    </row>
    <row r="92" spans="1:25" ht="94.5" hidden="1">
      <c r="A92" s="469"/>
      <c r="B92" s="106" t="s">
        <v>141</v>
      </c>
      <c r="C92" s="106" t="s">
        <v>44</v>
      </c>
      <c r="D92" s="106">
        <v>86</v>
      </c>
      <c r="E92" s="106" t="s">
        <v>142</v>
      </c>
      <c r="F92" s="116"/>
      <c r="G92" s="116"/>
      <c r="H92" s="116"/>
      <c r="I92" s="116"/>
      <c r="J92" s="116">
        <f t="shared" si="6"/>
        <v>0</v>
      </c>
      <c r="K92" s="116"/>
      <c r="L92" s="116"/>
      <c r="M92" s="116"/>
      <c r="N92" s="116"/>
      <c r="O92" s="116"/>
      <c r="P92" s="116">
        <f t="shared" si="7"/>
        <v>0</v>
      </c>
      <c r="Q92" s="116"/>
      <c r="R92" s="116"/>
      <c r="S92" s="116"/>
      <c r="T92" s="116"/>
      <c r="U92" s="116"/>
      <c r="V92" s="116"/>
      <c r="W92" s="117"/>
      <c r="X92" s="117">
        <f t="shared" si="2"/>
        <v>0</v>
      </c>
      <c r="Y92" s="97"/>
    </row>
    <row r="93" spans="1:25" ht="33" customHeight="1">
      <c r="A93" s="469"/>
      <c r="B93" s="503" t="s">
        <v>143</v>
      </c>
      <c r="C93" s="504"/>
      <c r="D93" s="504"/>
      <c r="E93" s="381"/>
      <c r="F93" s="102">
        <f t="shared" ref="F93:W93" si="8">SUM(F69:F92)</f>
        <v>78.900000000000006</v>
      </c>
      <c r="G93" s="102">
        <f t="shared" si="8"/>
        <v>0</v>
      </c>
      <c r="H93" s="102">
        <f t="shared" si="8"/>
        <v>0</v>
      </c>
      <c r="I93" s="102">
        <f t="shared" si="8"/>
        <v>0.65</v>
      </c>
      <c r="J93" s="102">
        <f t="shared" si="8"/>
        <v>0.65</v>
      </c>
      <c r="K93" s="102">
        <f t="shared" si="8"/>
        <v>0</v>
      </c>
      <c r="L93" s="102">
        <f t="shared" si="8"/>
        <v>5.5600000000000005</v>
      </c>
      <c r="M93" s="102">
        <f t="shared" si="8"/>
        <v>0</v>
      </c>
      <c r="N93" s="102">
        <f t="shared" si="8"/>
        <v>0</v>
      </c>
      <c r="O93" s="102">
        <f t="shared" si="8"/>
        <v>4.6899999999999995</v>
      </c>
      <c r="P93" s="102">
        <f t="shared" si="8"/>
        <v>4.6899999999999995</v>
      </c>
      <c r="Q93" s="102">
        <f t="shared" si="8"/>
        <v>0</v>
      </c>
      <c r="R93" s="102">
        <f t="shared" si="8"/>
        <v>11.6</v>
      </c>
      <c r="S93" s="102">
        <f t="shared" si="8"/>
        <v>0</v>
      </c>
      <c r="T93" s="102">
        <f t="shared" si="8"/>
        <v>159.29599999999999</v>
      </c>
      <c r="U93" s="102">
        <f t="shared" si="8"/>
        <v>0</v>
      </c>
      <c r="V93" s="102">
        <f t="shared" si="8"/>
        <v>10.85</v>
      </c>
      <c r="W93" s="102">
        <f t="shared" si="8"/>
        <v>0</v>
      </c>
      <c r="X93" s="102">
        <f t="shared" si="2"/>
        <v>271.54600000000005</v>
      </c>
      <c r="Y93" s="251"/>
    </row>
    <row r="94" spans="1:25" ht="110.25">
      <c r="A94" s="477" t="s">
        <v>144</v>
      </c>
      <c r="B94" s="476" t="s">
        <v>145</v>
      </c>
      <c r="C94" s="476" t="s">
        <v>146</v>
      </c>
      <c r="D94" s="106">
        <v>87</v>
      </c>
      <c r="E94" s="106" t="s">
        <v>147</v>
      </c>
      <c r="F94" s="155"/>
      <c r="G94" s="155"/>
      <c r="H94" s="155"/>
      <c r="I94" s="155"/>
      <c r="J94" s="116">
        <f t="shared" ref="J94:J133" si="9">H94+I94</f>
        <v>0</v>
      </c>
      <c r="K94" s="155"/>
      <c r="L94" s="155"/>
      <c r="M94" s="155"/>
      <c r="N94" s="155"/>
      <c r="O94" s="122">
        <v>15</v>
      </c>
      <c r="P94" s="117">
        <f t="shared" ref="P94:P126" si="10">N94+O94</f>
        <v>15</v>
      </c>
      <c r="Q94" s="155"/>
      <c r="R94" s="155"/>
      <c r="S94" s="155"/>
      <c r="T94" s="155"/>
      <c r="U94" s="155"/>
      <c r="V94" s="155"/>
      <c r="W94" s="117"/>
      <c r="X94" s="117">
        <f t="shared" si="2"/>
        <v>15</v>
      </c>
      <c r="Y94" s="225" t="s">
        <v>609</v>
      </c>
    </row>
    <row r="95" spans="1:25" ht="47.25">
      <c r="A95" s="469"/>
      <c r="B95" s="469"/>
      <c r="C95" s="469"/>
      <c r="D95" s="106">
        <v>88</v>
      </c>
      <c r="E95" s="106" t="s">
        <v>148</v>
      </c>
      <c r="F95" s="155"/>
      <c r="G95" s="155"/>
      <c r="H95" s="155"/>
      <c r="I95" s="155"/>
      <c r="J95" s="116">
        <f t="shared" si="9"/>
        <v>0</v>
      </c>
      <c r="K95" s="155"/>
      <c r="L95" s="155"/>
      <c r="M95" s="155"/>
      <c r="N95" s="155"/>
      <c r="O95" s="155"/>
      <c r="P95" s="116">
        <f t="shared" si="10"/>
        <v>0</v>
      </c>
      <c r="Q95" s="155"/>
      <c r="R95" s="155"/>
      <c r="S95" s="158"/>
      <c r="T95" s="158">
        <f>10+13</f>
        <v>23</v>
      </c>
      <c r="U95" s="155"/>
      <c r="V95" s="155"/>
      <c r="W95" s="117"/>
      <c r="X95" s="117">
        <f t="shared" si="2"/>
        <v>23</v>
      </c>
      <c r="Y95" s="225" t="s">
        <v>1158</v>
      </c>
    </row>
    <row r="96" spans="1:25" ht="78.75">
      <c r="A96" s="469"/>
      <c r="B96" s="469"/>
      <c r="C96" s="469"/>
      <c r="D96" s="106">
        <v>89</v>
      </c>
      <c r="E96" s="106" t="s">
        <v>149</v>
      </c>
      <c r="F96" s="155"/>
      <c r="G96" s="155"/>
      <c r="H96" s="155"/>
      <c r="I96" s="155"/>
      <c r="J96" s="116">
        <f t="shared" si="9"/>
        <v>0</v>
      </c>
      <c r="K96" s="155"/>
      <c r="L96" s="155"/>
      <c r="M96" s="155"/>
      <c r="N96" s="155"/>
      <c r="O96" s="155"/>
      <c r="P96" s="116">
        <f t="shared" si="10"/>
        <v>0</v>
      </c>
      <c r="Q96" s="155"/>
      <c r="R96" s="155"/>
      <c r="S96" s="155"/>
      <c r="T96" s="155"/>
      <c r="U96" s="155"/>
      <c r="V96" s="155"/>
      <c r="W96" s="117"/>
      <c r="X96" s="117">
        <f t="shared" si="2"/>
        <v>0</v>
      </c>
      <c r="Y96" s="225"/>
    </row>
    <row r="97" spans="1:25" ht="63">
      <c r="A97" s="469"/>
      <c r="B97" s="469"/>
      <c r="C97" s="469"/>
      <c r="D97" s="106">
        <v>90</v>
      </c>
      <c r="E97" s="106" t="s">
        <v>150</v>
      </c>
      <c r="F97" s="155"/>
      <c r="G97" s="155"/>
      <c r="H97" s="155"/>
      <c r="I97" s="155"/>
      <c r="J97" s="116">
        <f t="shared" si="9"/>
        <v>0</v>
      </c>
      <c r="K97" s="155"/>
      <c r="L97" s="155"/>
      <c r="M97" s="155"/>
      <c r="N97" s="155"/>
      <c r="O97" s="155"/>
      <c r="P97" s="116">
        <f t="shared" si="10"/>
        <v>0</v>
      </c>
      <c r="Q97" s="155"/>
      <c r="R97" s="155"/>
      <c r="S97" s="158"/>
      <c r="T97" s="158"/>
      <c r="U97" s="155"/>
      <c r="V97" s="155"/>
      <c r="W97" s="117"/>
      <c r="X97" s="117">
        <f t="shared" si="2"/>
        <v>0</v>
      </c>
      <c r="Y97" s="225"/>
    </row>
    <row r="98" spans="1:25" ht="47.25">
      <c r="A98" s="469"/>
      <c r="B98" s="469"/>
      <c r="C98" s="469"/>
      <c r="D98" s="106">
        <v>91</v>
      </c>
      <c r="E98" s="106" t="s">
        <v>151</v>
      </c>
      <c r="F98" s="155"/>
      <c r="G98" s="120"/>
      <c r="H98" s="120"/>
      <c r="I98" s="120"/>
      <c r="J98" s="116">
        <f t="shared" si="9"/>
        <v>0</v>
      </c>
      <c r="K98" s="120"/>
      <c r="L98" s="120"/>
      <c r="M98" s="120"/>
      <c r="N98" s="120"/>
      <c r="O98" s="122"/>
      <c r="P98" s="117">
        <f t="shared" si="10"/>
        <v>0</v>
      </c>
      <c r="Q98" s="120"/>
      <c r="R98" s="120"/>
      <c r="S98" s="121"/>
      <c r="T98" s="121"/>
      <c r="U98" s="155"/>
      <c r="V98" s="155"/>
      <c r="W98" s="117"/>
      <c r="X98" s="117">
        <f t="shared" si="2"/>
        <v>0</v>
      </c>
      <c r="Y98" s="227"/>
    </row>
    <row r="99" spans="1:25" ht="78.75">
      <c r="A99" s="469"/>
      <c r="B99" s="469"/>
      <c r="C99" s="469"/>
      <c r="D99" s="106">
        <v>92</v>
      </c>
      <c r="E99" s="106" t="s">
        <v>152</v>
      </c>
      <c r="F99" s="155"/>
      <c r="G99" s="155"/>
      <c r="H99" s="155"/>
      <c r="I99" s="155"/>
      <c r="J99" s="116">
        <f t="shared" si="9"/>
        <v>0</v>
      </c>
      <c r="K99" s="155"/>
      <c r="L99" s="155"/>
      <c r="M99" s="155"/>
      <c r="N99" s="155"/>
      <c r="O99" s="155"/>
      <c r="P99" s="116">
        <f t="shared" si="10"/>
        <v>0</v>
      </c>
      <c r="Q99" s="155"/>
      <c r="R99" s="155"/>
      <c r="S99" s="158"/>
      <c r="T99" s="158">
        <v>0.5</v>
      </c>
      <c r="U99" s="155"/>
      <c r="V99" s="155"/>
      <c r="W99" s="117"/>
      <c r="X99" s="117">
        <f t="shared" si="2"/>
        <v>0.5</v>
      </c>
      <c r="Y99" s="231" t="s">
        <v>619</v>
      </c>
    </row>
    <row r="100" spans="1:25" ht="78.75">
      <c r="A100" s="469"/>
      <c r="B100" s="469"/>
      <c r="C100" s="469"/>
      <c r="D100" s="106">
        <v>93</v>
      </c>
      <c r="E100" s="106" t="s">
        <v>153</v>
      </c>
      <c r="F100" s="155"/>
      <c r="G100" s="155"/>
      <c r="H100" s="155"/>
      <c r="I100" s="155"/>
      <c r="J100" s="116">
        <f t="shared" si="9"/>
        <v>0</v>
      </c>
      <c r="K100" s="158"/>
      <c r="L100" s="158">
        <v>6.1</v>
      </c>
      <c r="M100" s="155"/>
      <c r="N100" s="155"/>
      <c r="O100" s="155"/>
      <c r="P100" s="116">
        <f t="shared" si="10"/>
        <v>0</v>
      </c>
      <c r="Q100" s="155"/>
      <c r="R100" s="155"/>
      <c r="S100" s="155"/>
      <c r="T100" s="155"/>
      <c r="U100" s="155"/>
      <c r="V100" s="155"/>
      <c r="W100" s="117"/>
      <c r="X100" s="117">
        <f t="shared" si="2"/>
        <v>6.1</v>
      </c>
      <c r="Y100" s="227" t="s">
        <v>604</v>
      </c>
    </row>
    <row r="101" spans="1:25" ht="78.75">
      <c r="A101" s="469"/>
      <c r="B101" s="469"/>
      <c r="C101" s="469"/>
      <c r="D101" s="106">
        <v>94</v>
      </c>
      <c r="E101" s="106" t="s">
        <v>154</v>
      </c>
      <c r="F101" s="155"/>
      <c r="G101" s="155"/>
      <c r="H101" s="155"/>
      <c r="I101" s="155"/>
      <c r="J101" s="116">
        <f t="shared" si="9"/>
        <v>0</v>
      </c>
      <c r="K101" s="158"/>
      <c r="L101" s="158">
        <v>6.1</v>
      </c>
      <c r="M101" s="155"/>
      <c r="N101" s="155"/>
      <c r="O101" s="155"/>
      <c r="P101" s="116">
        <f t="shared" si="10"/>
        <v>0</v>
      </c>
      <c r="Q101" s="155"/>
      <c r="R101" s="155"/>
      <c r="S101" s="155"/>
      <c r="T101" s="155"/>
      <c r="U101" s="155"/>
      <c r="V101" s="155"/>
      <c r="W101" s="117"/>
      <c r="X101" s="117">
        <f t="shared" si="2"/>
        <v>6.1</v>
      </c>
      <c r="Y101" s="231" t="s">
        <v>605</v>
      </c>
    </row>
    <row r="102" spans="1:25" ht="94.5">
      <c r="A102" s="469"/>
      <c r="B102" s="469"/>
      <c r="C102" s="469"/>
      <c r="D102" s="106">
        <v>95</v>
      </c>
      <c r="E102" s="106" t="s">
        <v>155</v>
      </c>
      <c r="F102" s="155"/>
      <c r="G102" s="155"/>
      <c r="H102" s="155"/>
      <c r="I102" s="158"/>
      <c r="J102" s="125">
        <f t="shared" si="9"/>
        <v>0</v>
      </c>
      <c r="K102" s="122"/>
      <c r="L102" s="122"/>
      <c r="M102" s="155"/>
      <c r="N102" s="155"/>
      <c r="O102" s="155"/>
      <c r="P102" s="116">
        <f t="shared" si="10"/>
        <v>0</v>
      </c>
      <c r="Q102" s="155"/>
      <c r="R102" s="155"/>
      <c r="S102" s="155"/>
      <c r="T102" s="155"/>
      <c r="U102" s="155"/>
      <c r="V102" s="155"/>
      <c r="W102" s="117"/>
      <c r="X102" s="117">
        <f t="shared" si="2"/>
        <v>0</v>
      </c>
      <c r="Y102" s="97"/>
    </row>
    <row r="103" spans="1:25" ht="63">
      <c r="A103" s="469"/>
      <c r="B103" s="469"/>
      <c r="C103" s="469"/>
      <c r="D103" s="106">
        <v>96</v>
      </c>
      <c r="E103" s="106" t="s">
        <v>156</v>
      </c>
      <c r="F103" s="155"/>
      <c r="G103" s="155"/>
      <c r="H103" s="155"/>
      <c r="I103" s="155"/>
      <c r="J103" s="116">
        <f t="shared" si="9"/>
        <v>0</v>
      </c>
      <c r="K103" s="155"/>
      <c r="L103" s="155"/>
      <c r="M103" s="155"/>
      <c r="N103" s="155"/>
      <c r="O103" s="155"/>
      <c r="P103" s="116">
        <f t="shared" si="10"/>
        <v>0</v>
      </c>
      <c r="Q103" s="155"/>
      <c r="R103" s="155"/>
      <c r="S103" s="120"/>
      <c r="T103" s="120">
        <v>1</v>
      </c>
      <c r="U103" s="155"/>
      <c r="V103" s="155"/>
      <c r="W103" s="117"/>
      <c r="X103" s="117">
        <f t="shared" si="2"/>
        <v>1</v>
      </c>
      <c r="Y103" s="97" t="s">
        <v>157</v>
      </c>
    </row>
    <row r="104" spans="1:25" ht="126">
      <c r="A104" s="469"/>
      <c r="B104" s="476" t="s">
        <v>158</v>
      </c>
      <c r="C104" s="476" t="s">
        <v>159</v>
      </c>
      <c r="D104" s="106">
        <v>97</v>
      </c>
      <c r="E104" s="106" t="s">
        <v>160</v>
      </c>
      <c r="F104" s="140"/>
      <c r="G104" s="140"/>
      <c r="H104" s="140"/>
      <c r="I104" s="140"/>
      <c r="J104" s="116">
        <f t="shared" si="9"/>
        <v>0</v>
      </c>
      <c r="K104" s="162"/>
      <c r="L104" s="162"/>
      <c r="M104" s="140"/>
      <c r="N104" s="140"/>
      <c r="O104" s="162"/>
      <c r="P104" s="117">
        <f t="shared" si="10"/>
        <v>0</v>
      </c>
      <c r="Q104" s="162"/>
      <c r="R104" s="162"/>
      <c r="S104" s="161"/>
      <c r="T104" s="161">
        <v>10</v>
      </c>
      <c r="U104" s="140"/>
      <c r="V104" s="140"/>
      <c r="W104" s="117"/>
      <c r="X104" s="117">
        <f t="shared" si="2"/>
        <v>10</v>
      </c>
      <c r="Y104" s="135" t="s">
        <v>642</v>
      </c>
    </row>
    <row r="105" spans="1:25" ht="39" customHeight="1">
      <c r="A105" s="469"/>
      <c r="B105" s="469"/>
      <c r="C105" s="469"/>
      <c r="D105" s="106">
        <v>98</v>
      </c>
      <c r="E105" s="106" t="s">
        <v>44</v>
      </c>
      <c r="F105" s="140"/>
      <c r="G105" s="140"/>
      <c r="H105" s="140"/>
      <c r="I105" s="140"/>
      <c r="J105" s="116">
        <f t="shared" si="9"/>
        <v>0</v>
      </c>
      <c r="K105" s="140"/>
      <c r="L105" s="140"/>
      <c r="M105" s="140"/>
      <c r="N105" s="140"/>
      <c r="O105" s="140"/>
      <c r="P105" s="116">
        <f t="shared" si="10"/>
        <v>0</v>
      </c>
      <c r="Q105" s="140"/>
      <c r="R105" s="140"/>
      <c r="S105" s="140"/>
      <c r="T105" s="140">
        <v>0.36</v>
      </c>
      <c r="U105" s="140"/>
      <c r="V105" s="140"/>
      <c r="W105" s="117"/>
      <c r="X105" s="117">
        <f t="shared" si="2"/>
        <v>0.36</v>
      </c>
      <c r="Y105" s="97" t="s">
        <v>631</v>
      </c>
    </row>
    <row r="106" spans="1:25" ht="31.5">
      <c r="A106" s="469"/>
      <c r="B106" s="476" t="s">
        <v>161</v>
      </c>
      <c r="C106" s="476" t="s">
        <v>162</v>
      </c>
      <c r="D106" s="106">
        <v>99</v>
      </c>
      <c r="E106" s="106" t="s">
        <v>163</v>
      </c>
      <c r="F106" s="140"/>
      <c r="G106" s="140"/>
      <c r="H106" s="140"/>
      <c r="I106" s="161"/>
      <c r="J106" s="125">
        <f t="shared" si="9"/>
        <v>0</v>
      </c>
      <c r="K106" s="162"/>
      <c r="L106" s="162"/>
      <c r="M106" s="140"/>
      <c r="N106" s="140"/>
      <c r="O106" s="162"/>
      <c r="P106" s="117">
        <f t="shared" si="10"/>
        <v>0</v>
      </c>
      <c r="Q106" s="140"/>
      <c r="R106" s="140"/>
      <c r="S106" s="140"/>
      <c r="T106" s="140"/>
      <c r="U106" s="140"/>
      <c r="V106" s="140"/>
      <c r="W106" s="117"/>
      <c r="X106" s="117">
        <f t="shared" si="2"/>
        <v>0</v>
      </c>
      <c r="Y106" s="252"/>
    </row>
    <row r="107" spans="1:25" ht="31.5">
      <c r="A107" s="469"/>
      <c r="B107" s="469"/>
      <c r="C107" s="469"/>
      <c r="D107" s="106">
        <v>100</v>
      </c>
      <c r="E107" s="106" t="s">
        <v>165</v>
      </c>
      <c r="F107" s="140"/>
      <c r="G107" s="140"/>
      <c r="H107" s="140"/>
      <c r="I107" s="140"/>
      <c r="J107" s="116">
        <f t="shared" si="9"/>
        <v>0</v>
      </c>
      <c r="K107" s="162"/>
      <c r="L107" s="162"/>
      <c r="M107" s="140"/>
      <c r="N107" s="140"/>
      <c r="O107" s="162"/>
      <c r="P107" s="117">
        <f t="shared" si="10"/>
        <v>0</v>
      </c>
      <c r="Q107" s="140"/>
      <c r="R107" s="140"/>
      <c r="S107" s="140"/>
      <c r="T107" s="140"/>
      <c r="U107" s="140"/>
      <c r="V107" s="140"/>
      <c r="W107" s="117"/>
      <c r="X107" s="117">
        <f t="shared" si="2"/>
        <v>0</v>
      </c>
      <c r="Y107" s="252"/>
    </row>
    <row r="108" spans="1:25" ht="31.5">
      <c r="A108" s="469"/>
      <c r="B108" s="469"/>
      <c r="C108" s="469"/>
      <c r="D108" s="106">
        <v>101</v>
      </c>
      <c r="E108" s="106" t="s">
        <v>166</v>
      </c>
      <c r="F108" s="140"/>
      <c r="G108" s="140"/>
      <c r="H108" s="140"/>
      <c r="I108" s="140"/>
      <c r="J108" s="116">
        <f t="shared" si="9"/>
        <v>0</v>
      </c>
      <c r="K108" s="140"/>
      <c r="L108" s="140"/>
      <c r="M108" s="140"/>
      <c r="N108" s="140"/>
      <c r="O108" s="140"/>
      <c r="P108" s="116">
        <f t="shared" si="10"/>
        <v>0</v>
      </c>
      <c r="Q108" s="140"/>
      <c r="R108" s="140"/>
      <c r="S108" s="140"/>
      <c r="T108" s="140"/>
      <c r="U108" s="140"/>
      <c r="V108" s="140"/>
      <c r="W108" s="117"/>
      <c r="X108" s="117">
        <f t="shared" si="2"/>
        <v>0</v>
      </c>
      <c r="Y108" s="245"/>
    </row>
    <row r="109" spans="1:25" ht="94.5">
      <c r="A109" s="469"/>
      <c r="B109" s="469"/>
      <c r="C109" s="469"/>
      <c r="D109" s="106">
        <v>102</v>
      </c>
      <c r="E109" s="106" t="s">
        <v>167</v>
      </c>
      <c r="F109" s="140"/>
      <c r="G109" s="140"/>
      <c r="H109" s="140"/>
      <c r="I109" s="140"/>
      <c r="J109" s="116">
        <f t="shared" si="9"/>
        <v>0</v>
      </c>
      <c r="K109" s="140"/>
      <c r="L109" s="140"/>
      <c r="M109" s="140"/>
      <c r="N109" s="140"/>
      <c r="O109" s="140"/>
      <c r="P109" s="116">
        <f t="shared" si="10"/>
        <v>0</v>
      </c>
      <c r="Q109" s="140"/>
      <c r="R109" s="140"/>
      <c r="S109" s="140"/>
      <c r="T109" s="140">
        <v>1.6</v>
      </c>
      <c r="U109" s="140"/>
      <c r="V109" s="140"/>
      <c r="W109" s="117"/>
      <c r="X109" s="117">
        <f t="shared" si="2"/>
        <v>1.6</v>
      </c>
      <c r="Y109" s="97" t="s">
        <v>654</v>
      </c>
    </row>
    <row r="110" spans="1:25" ht="47.25" hidden="1">
      <c r="A110" s="469"/>
      <c r="B110" s="469"/>
      <c r="C110" s="469"/>
      <c r="D110" s="106">
        <v>103</v>
      </c>
      <c r="E110" s="106" t="s">
        <v>44</v>
      </c>
      <c r="F110" s="140"/>
      <c r="G110" s="140"/>
      <c r="H110" s="140"/>
      <c r="I110" s="140"/>
      <c r="J110" s="116">
        <f t="shared" si="9"/>
        <v>0</v>
      </c>
      <c r="K110" s="140"/>
      <c r="L110" s="140"/>
      <c r="M110" s="140"/>
      <c r="N110" s="140"/>
      <c r="O110" s="140"/>
      <c r="P110" s="116">
        <f t="shared" si="10"/>
        <v>0</v>
      </c>
      <c r="Q110" s="140"/>
      <c r="R110" s="140"/>
      <c r="S110" s="161"/>
      <c r="T110" s="161"/>
      <c r="U110" s="161"/>
      <c r="V110" s="161"/>
      <c r="W110" s="117"/>
      <c r="X110" s="117">
        <f t="shared" si="2"/>
        <v>0</v>
      </c>
      <c r="Y110" s="135"/>
    </row>
    <row r="111" spans="1:25" ht="47.25">
      <c r="A111" s="469"/>
      <c r="B111" s="476" t="s">
        <v>168</v>
      </c>
      <c r="C111" s="476" t="s">
        <v>169</v>
      </c>
      <c r="D111" s="106">
        <v>104</v>
      </c>
      <c r="E111" s="106" t="s">
        <v>170</v>
      </c>
      <c r="F111" s="140"/>
      <c r="G111" s="140"/>
      <c r="H111" s="140"/>
      <c r="I111" s="140"/>
      <c r="J111" s="116">
        <f t="shared" si="9"/>
        <v>0</v>
      </c>
      <c r="K111" s="140"/>
      <c r="L111" s="140"/>
      <c r="M111" s="140"/>
      <c r="N111" s="140"/>
      <c r="O111" s="140"/>
      <c r="P111" s="116">
        <f t="shared" si="10"/>
        <v>0</v>
      </c>
      <c r="Q111" s="140"/>
      <c r="R111" s="140"/>
      <c r="S111" s="161"/>
      <c r="T111" s="161">
        <v>0</v>
      </c>
      <c r="U111" s="161"/>
      <c r="V111" s="161"/>
      <c r="W111" s="117"/>
      <c r="X111" s="117">
        <f t="shared" si="2"/>
        <v>0</v>
      </c>
      <c r="Y111" s="135"/>
    </row>
    <row r="112" spans="1:25" ht="157.5">
      <c r="A112" s="469"/>
      <c r="B112" s="469"/>
      <c r="C112" s="469"/>
      <c r="D112" s="106">
        <v>105</v>
      </c>
      <c r="E112" s="106" t="s">
        <v>171</v>
      </c>
      <c r="F112" s="140"/>
      <c r="G112" s="140"/>
      <c r="H112" s="140"/>
      <c r="I112" s="140"/>
      <c r="J112" s="116">
        <f t="shared" si="9"/>
        <v>0</v>
      </c>
      <c r="K112" s="140"/>
      <c r="L112" s="140"/>
      <c r="M112" s="140"/>
      <c r="N112" s="140"/>
      <c r="O112" s="140"/>
      <c r="P112" s="116">
        <f t="shared" si="10"/>
        <v>0</v>
      </c>
      <c r="Q112" s="140"/>
      <c r="R112" s="140"/>
      <c r="S112" s="162"/>
      <c r="T112" s="162">
        <v>2</v>
      </c>
      <c r="U112" s="140"/>
      <c r="V112" s="140"/>
      <c r="W112" s="117"/>
      <c r="X112" s="117">
        <f t="shared" si="2"/>
        <v>2</v>
      </c>
      <c r="Y112" s="97" t="s">
        <v>633</v>
      </c>
    </row>
    <row r="113" spans="1:25" ht="31.5">
      <c r="A113" s="469"/>
      <c r="B113" s="469"/>
      <c r="C113" s="469"/>
      <c r="D113" s="106">
        <v>106</v>
      </c>
      <c r="E113" s="106" t="s">
        <v>172</v>
      </c>
      <c r="F113" s="140"/>
      <c r="G113" s="140"/>
      <c r="H113" s="140"/>
      <c r="I113" s="140"/>
      <c r="J113" s="116">
        <f t="shared" si="9"/>
        <v>0</v>
      </c>
      <c r="K113" s="162"/>
      <c r="L113" s="162"/>
      <c r="M113" s="140"/>
      <c r="N113" s="140"/>
      <c r="O113" s="162"/>
      <c r="P113" s="117">
        <f t="shared" si="10"/>
        <v>0</v>
      </c>
      <c r="Q113" s="140"/>
      <c r="R113" s="140"/>
      <c r="S113" s="161"/>
      <c r="T113" s="161">
        <v>0</v>
      </c>
      <c r="U113" s="118"/>
      <c r="V113" s="118"/>
      <c r="W113" s="117"/>
      <c r="X113" s="117">
        <f t="shared" si="2"/>
        <v>0</v>
      </c>
      <c r="Y113" s="135"/>
    </row>
    <row r="114" spans="1:25" ht="62.25" customHeight="1">
      <c r="A114" s="469"/>
      <c r="B114" s="476" t="s">
        <v>173</v>
      </c>
      <c r="C114" s="476" t="s">
        <v>174</v>
      </c>
      <c r="D114" s="106">
        <v>107</v>
      </c>
      <c r="E114" s="106" t="s">
        <v>175</v>
      </c>
      <c r="F114" s="140"/>
      <c r="G114" s="140"/>
      <c r="H114" s="140"/>
      <c r="I114" s="140"/>
      <c r="J114" s="116">
        <f t="shared" si="9"/>
        <v>0</v>
      </c>
      <c r="K114" s="162"/>
      <c r="L114" s="162"/>
      <c r="M114" s="140"/>
      <c r="N114" s="140"/>
      <c r="O114" s="162"/>
      <c r="P114" s="117">
        <f t="shared" si="10"/>
        <v>0</v>
      </c>
      <c r="Q114" s="140"/>
      <c r="R114" s="140"/>
      <c r="S114" s="161"/>
      <c r="T114" s="161"/>
      <c r="U114" s="140"/>
      <c r="V114" s="140"/>
      <c r="W114" s="117"/>
      <c r="X114" s="117">
        <f t="shared" si="2"/>
        <v>0</v>
      </c>
      <c r="Y114" s="135"/>
    </row>
    <row r="115" spans="1:25" ht="39" customHeight="1">
      <c r="A115" s="469"/>
      <c r="B115" s="469"/>
      <c r="C115" s="469"/>
      <c r="D115" s="106">
        <v>108</v>
      </c>
      <c r="E115" s="106" t="s">
        <v>176</v>
      </c>
      <c r="F115" s="140"/>
      <c r="G115" s="140"/>
      <c r="H115" s="140"/>
      <c r="I115" s="140"/>
      <c r="J115" s="116">
        <f t="shared" si="9"/>
        <v>0</v>
      </c>
      <c r="K115" s="162"/>
      <c r="L115" s="162"/>
      <c r="M115" s="140"/>
      <c r="N115" s="140"/>
      <c r="O115" s="162"/>
      <c r="P115" s="117">
        <f t="shared" si="10"/>
        <v>0</v>
      </c>
      <c r="Q115" s="140"/>
      <c r="R115" s="140"/>
      <c r="S115" s="161"/>
      <c r="T115" s="161"/>
      <c r="U115" s="140"/>
      <c r="V115" s="140"/>
      <c r="W115" s="117"/>
      <c r="X115" s="117">
        <f t="shared" si="2"/>
        <v>0</v>
      </c>
      <c r="Y115" s="135"/>
    </row>
    <row r="116" spans="1:25" ht="36" customHeight="1">
      <c r="A116" s="469"/>
      <c r="B116" s="469"/>
      <c r="C116" s="469"/>
      <c r="D116" s="106">
        <v>109</v>
      </c>
      <c r="E116" s="106" t="s">
        <v>177</v>
      </c>
      <c r="F116" s="140"/>
      <c r="G116" s="140"/>
      <c r="H116" s="140"/>
      <c r="I116" s="161"/>
      <c r="J116" s="125">
        <f t="shared" si="9"/>
        <v>0</v>
      </c>
      <c r="K116" s="162"/>
      <c r="L116" s="162">
        <v>1</v>
      </c>
      <c r="M116" s="140"/>
      <c r="N116" s="140"/>
      <c r="O116" s="162"/>
      <c r="P116" s="117">
        <f t="shared" si="10"/>
        <v>0</v>
      </c>
      <c r="Q116" s="140"/>
      <c r="R116" s="140"/>
      <c r="S116" s="140"/>
      <c r="T116" s="140"/>
      <c r="U116" s="140"/>
      <c r="V116" s="140"/>
      <c r="W116" s="117"/>
      <c r="X116" s="117">
        <f t="shared" si="2"/>
        <v>1</v>
      </c>
      <c r="Y116" s="245" t="s">
        <v>634</v>
      </c>
    </row>
    <row r="117" spans="1:25" ht="31.5">
      <c r="A117" s="469"/>
      <c r="B117" s="469"/>
      <c r="C117" s="469"/>
      <c r="D117" s="106">
        <v>110</v>
      </c>
      <c r="E117" s="106" t="s">
        <v>178</v>
      </c>
      <c r="F117" s="140"/>
      <c r="G117" s="140"/>
      <c r="H117" s="140"/>
      <c r="I117" s="140"/>
      <c r="J117" s="116">
        <f t="shared" si="9"/>
        <v>0</v>
      </c>
      <c r="K117" s="162"/>
      <c r="L117" s="162"/>
      <c r="M117" s="140"/>
      <c r="N117" s="140"/>
      <c r="O117" s="162"/>
      <c r="P117" s="117">
        <f t="shared" si="10"/>
        <v>0</v>
      </c>
      <c r="Q117" s="161"/>
      <c r="R117" s="161"/>
      <c r="S117" s="162"/>
      <c r="T117" s="162"/>
      <c r="U117" s="140"/>
      <c r="V117" s="140"/>
      <c r="W117" s="117"/>
      <c r="X117" s="117">
        <f t="shared" si="2"/>
        <v>0</v>
      </c>
      <c r="Y117" s="97"/>
    </row>
    <row r="118" spans="1:25" ht="47.25" hidden="1">
      <c r="A118" s="469"/>
      <c r="B118" s="469"/>
      <c r="C118" s="469"/>
      <c r="D118" s="106">
        <v>111</v>
      </c>
      <c r="E118" s="106" t="s">
        <v>44</v>
      </c>
      <c r="F118" s="140"/>
      <c r="G118" s="140"/>
      <c r="H118" s="140"/>
      <c r="I118" s="140"/>
      <c r="J118" s="116">
        <f t="shared" si="9"/>
        <v>0</v>
      </c>
      <c r="K118" s="161"/>
      <c r="L118" s="161"/>
      <c r="M118" s="140"/>
      <c r="N118" s="140"/>
      <c r="O118" s="161"/>
      <c r="P118" s="125">
        <f t="shared" si="10"/>
        <v>0</v>
      </c>
      <c r="Q118" s="140"/>
      <c r="R118" s="140"/>
      <c r="S118" s="161"/>
      <c r="T118" s="161"/>
      <c r="U118" s="161"/>
      <c r="V118" s="161"/>
      <c r="W118" s="117"/>
      <c r="X118" s="117">
        <f t="shared" si="2"/>
        <v>0</v>
      </c>
      <c r="Y118" s="252"/>
    </row>
    <row r="119" spans="1:25" ht="31.5">
      <c r="A119" s="469"/>
      <c r="B119" s="476" t="s">
        <v>179</v>
      </c>
      <c r="C119" s="476" t="s">
        <v>180</v>
      </c>
      <c r="D119" s="106">
        <v>112</v>
      </c>
      <c r="E119" s="106" t="s">
        <v>181</v>
      </c>
      <c r="F119" s="140"/>
      <c r="G119" s="140"/>
      <c r="H119" s="140"/>
      <c r="I119" s="140"/>
      <c r="J119" s="116">
        <f t="shared" si="9"/>
        <v>0</v>
      </c>
      <c r="K119" s="162"/>
      <c r="L119" s="162"/>
      <c r="M119" s="140"/>
      <c r="N119" s="140"/>
      <c r="O119" s="162"/>
      <c r="P119" s="117">
        <f t="shared" si="10"/>
        <v>0</v>
      </c>
      <c r="Q119" s="140"/>
      <c r="R119" s="140"/>
      <c r="S119" s="140"/>
      <c r="T119" s="140"/>
      <c r="U119" s="140"/>
      <c r="V119" s="140"/>
      <c r="W119" s="117"/>
      <c r="X119" s="117">
        <f t="shared" si="2"/>
        <v>0</v>
      </c>
      <c r="Y119" s="245"/>
    </row>
    <row r="120" spans="1:25" ht="31.5">
      <c r="A120" s="469"/>
      <c r="B120" s="469"/>
      <c r="C120" s="469"/>
      <c r="D120" s="106">
        <v>113</v>
      </c>
      <c r="E120" s="106" t="s">
        <v>182</v>
      </c>
      <c r="F120" s="140"/>
      <c r="G120" s="140"/>
      <c r="H120" s="140"/>
      <c r="I120" s="140"/>
      <c r="J120" s="116">
        <f t="shared" si="9"/>
        <v>0</v>
      </c>
      <c r="K120" s="162"/>
      <c r="L120" s="162"/>
      <c r="M120" s="140"/>
      <c r="N120" s="140"/>
      <c r="O120" s="162"/>
      <c r="P120" s="117">
        <f t="shared" si="10"/>
        <v>0</v>
      </c>
      <c r="Q120" s="162"/>
      <c r="R120" s="162"/>
      <c r="S120" s="140"/>
      <c r="T120" s="140"/>
      <c r="U120" s="140"/>
      <c r="V120" s="140"/>
      <c r="W120" s="117"/>
      <c r="X120" s="117">
        <f t="shared" si="2"/>
        <v>0</v>
      </c>
      <c r="Y120" s="252"/>
    </row>
    <row r="121" spans="1:25" ht="141.75">
      <c r="A121" s="469"/>
      <c r="B121" s="106" t="s">
        <v>183</v>
      </c>
      <c r="C121" s="106" t="s">
        <v>184</v>
      </c>
      <c r="D121" s="106">
        <v>114</v>
      </c>
      <c r="E121" s="106" t="s">
        <v>185</v>
      </c>
      <c r="F121" s="140"/>
      <c r="G121" s="140"/>
      <c r="H121" s="140"/>
      <c r="I121" s="161">
        <v>10</v>
      </c>
      <c r="J121" s="125">
        <f t="shared" si="9"/>
        <v>10</v>
      </c>
      <c r="K121" s="140"/>
      <c r="L121" s="140">
        <v>0.7</v>
      </c>
      <c r="M121" s="140"/>
      <c r="N121" s="140"/>
      <c r="O121" s="140"/>
      <c r="P121" s="116">
        <f t="shared" si="10"/>
        <v>0</v>
      </c>
      <c r="Q121" s="140"/>
      <c r="R121" s="140"/>
      <c r="S121" s="140"/>
      <c r="T121" s="140">
        <v>3</v>
      </c>
      <c r="U121" s="161"/>
      <c r="V121" s="161"/>
      <c r="W121" s="117"/>
      <c r="X121" s="117">
        <f t="shared" si="2"/>
        <v>13.7</v>
      </c>
      <c r="Y121" s="135" t="s">
        <v>635</v>
      </c>
    </row>
    <row r="122" spans="1:25" ht="31.5">
      <c r="A122" s="469"/>
      <c r="B122" s="476" t="s">
        <v>186</v>
      </c>
      <c r="C122" s="476" t="s">
        <v>187</v>
      </c>
      <c r="D122" s="106">
        <v>115</v>
      </c>
      <c r="E122" s="106" t="s">
        <v>188</v>
      </c>
      <c r="F122" s="140"/>
      <c r="G122" s="140"/>
      <c r="H122" s="140"/>
      <c r="I122" s="140"/>
      <c r="J122" s="116">
        <f t="shared" si="9"/>
        <v>0</v>
      </c>
      <c r="K122" s="140"/>
      <c r="L122" s="140"/>
      <c r="M122" s="140"/>
      <c r="N122" s="140"/>
      <c r="O122" s="140"/>
      <c r="P122" s="116">
        <f t="shared" si="10"/>
        <v>0</v>
      </c>
      <c r="Q122" s="162"/>
      <c r="R122" s="162"/>
      <c r="S122" s="176"/>
      <c r="T122" s="162">
        <v>1.5</v>
      </c>
      <c r="U122" s="278"/>
      <c r="V122" s="140"/>
      <c r="W122" s="117"/>
      <c r="X122" s="117">
        <f t="shared" si="2"/>
        <v>1.5</v>
      </c>
      <c r="Y122" s="135" t="s">
        <v>636</v>
      </c>
    </row>
    <row r="123" spans="1:25" ht="57" customHeight="1">
      <c r="A123" s="469"/>
      <c r="B123" s="469"/>
      <c r="C123" s="469"/>
      <c r="D123" s="106">
        <v>116</v>
      </c>
      <c r="E123" s="106" t="s">
        <v>189</v>
      </c>
      <c r="F123" s="140"/>
      <c r="G123" s="140"/>
      <c r="H123" s="140"/>
      <c r="I123" s="140"/>
      <c r="J123" s="116">
        <f t="shared" si="9"/>
        <v>0</v>
      </c>
      <c r="K123" s="140"/>
      <c r="L123" s="140"/>
      <c r="M123" s="140"/>
      <c r="N123" s="140"/>
      <c r="O123" s="140"/>
      <c r="P123" s="116">
        <f t="shared" si="10"/>
        <v>0</v>
      </c>
      <c r="Q123" s="162"/>
      <c r="R123" s="162">
        <v>5.45</v>
      </c>
      <c r="S123" s="176"/>
      <c r="T123" s="162"/>
      <c r="U123" s="278"/>
      <c r="V123" s="140"/>
      <c r="W123" s="117"/>
      <c r="X123" s="117">
        <f t="shared" si="2"/>
        <v>5.45</v>
      </c>
      <c r="Y123" s="135" t="s">
        <v>655</v>
      </c>
    </row>
    <row r="124" spans="1:25" ht="31.5">
      <c r="A124" s="469"/>
      <c r="B124" s="469"/>
      <c r="C124" s="469"/>
      <c r="D124" s="106">
        <v>117</v>
      </c>
      <c r="E124" s="106" t="s">
        <v>190</v>
      </c>
      <c r="F124" s="140"/>
      <c r="G124" s="140"/>
      <c r="H124" s="140"/>
      <c r="I124" s="140"/>
      <c r="J124" s="116">
        <f t="shared" si="9"/>
        <v>0</v>
      </c>
      <c r="K124" s="140"/>
      <c r="L124" s="140"/>
      <c r="M124" s="140"/>
      <c r="N124" s="140"/>
      <c r="O124" s="140"/>
      <c r="P124" s="116">
        <f t="shared" si="10"/>
        <v>0</v>
      </c>
      <c r="Q124" s="140"/>
      <c r="R124" s="162"/>
      <c r="S124" s="140"/>
      <c r="T124" s="140"/>
      <c r="U124" s="140"/>
      <c r="V124" s="140"/>
      <c r="W124" s="162"/>
      <c r="X124" s="117">
        <f t="shared" si="2"/>
        <v>0</v>
      </c>
      <c r="Y124" s="97"/>
    </row>
    <row r="125" spans="1:25" ht="47.25" hidden="1">
      <c r="A125" s="469"/>
      <c r="B125" s="469"/>
      <c r="C125" s="469"/>
      <c r="D125" s="106">
        <v>118</v>
      </c>
      <c r="E125" s="106" t="s">
        <v>44</v>
      </c>
      <c r="F125" s="140"/>
      <c r="G125" s="140"/>
      <c r="H125" s="140"/>
      <c r="I125" s="140"/>
      <c r="J125" s="116">
        <f t="shared" si="9"/>
        <v>0</v>
      </c>
      <c r="K125" s="140"/>
      <c r="L125" s="140"/>
      <c r="M125" s="140"/>
      <c r="N125" s="140"/>
      <c r="O125" s="140"/>
      <c r="P125" s="116">
        <f t="shared" si="10"/>
        <v>0</v>
      </c>
      <c r="Q125" s="140"/>
      <c r="R125" s="140"/>
      <c r="S125" s="140"/>
      <c r="T125" s="140"/>
      <c r="U125" s="140"/>
      <c r="V125" s="140"/>
      <c r="W125" s="162"/>
      <c r="X125" s="117">
        <f t="shared" si="2"/>
        <v>0</v>
      </c>
      <c r="Y125" s="97"/>
    </row>
    <row r="126" spans="1:25" ht="94.5">
      <c r="A126" s="469"/>
      <c r="B126" s="106" t="s">
        <v>191</v>
      </c>
      <c r="C126" s="106" t="s">
        <v>192</v>
      </c>
      <c r="D126" s="106">
        <v>119</v>
      </c>
      <c r="E126" s="106" t="s">
        <v>193</v>
      </c>
      <c r="F126" s="140"/>
      <c r="G126" s="140"/>
      <c r="H126" s="140"/>
      <c r="I126" s="161"/>
      <c r="J126" s="125">
        <f t="shared" si="9"/>
        <v>0</v>
      </c>
      <c r="K126" s="162"/>
      <c r="L126" s="162"/>
      <c r="M126" s="140"/>
      <c r="N126" s="140"/>
      <c r="O126" s="140"/>
      <c r="P126" s="116">
        <f t="shared" si="10"/>
        <v>0</v>
      </c>
      <c r="Q126" s="140"/>
      <c r="R126" s="140"/>
      <c r="S126" s="161"/>
      <c r="T126" s="161">
        <v>5</v>
      </c>
      <c r="U126" s="140"/>
      <c r="V126" s="140"/>
      <c r="W126" s="117"/>
      <c r="X126" s="117">
        <f t="shared" si="2"/>
        <v>5</v>
      </c>
      <c r="Y126" s="135" t="s">
        <v>638</v>
      </c>
    </row>
    <row r="127" spans="1:25" ht="109.5" customHeight="1">
      <c r="A127" s="469"/>
      <c r="B127" s="106" t="s">
        <v>194</v>
      </c>
      <c r="C127" s="106" t="s">
        <v>195</v>
      </c>
      <c r="D127" s="106">
        <v>120</v>
      </c>
      <c r="E127" s="106" t="s">
        <v>196</v>
      </c>
      <c r="F127" s="140"/>
      <c r="G127" s="140"/>
      <c r="H127" s="140"/>
      <c r="I127" s="140"/>
      <c r="J127" s="116">
        <f t="shared" si="9"/>
        <v>0</v>
      </c>
      <c r="K127" s="140"/>
      <c r="L127" s="140"/>
      <c r="M127" s="140"/>
      <c r="N127" s="140"/>
      <c r="O127" s="161"/>
      <c r="P127" s="278"/>
      <c r="Q127" s="161"/>
      <c r="R127" s="161">
        <v>1.68</v>
      </c>
      <c r="S127" s="296"/>
      <c r="T127" s="161"/>
      <c r="U127" s="140"/>
      <c r="V127" s="140"/>
      <c r="W127" s="117"/>
      <c r="X127" s="117">
        <f t="shared" si="2"/>
        <v>1.68</v>
      </c>
      <c r="Y127" s="97" t="s">
        <v>646</v>
      </c>
    </row>
    <row r="128" spans="1:25" ht="42" customHeight="1">
      <c r="A128" s="469"/>
      <c r="B128" s="476" t="s">
        <v>197</v>
      </c>
      <c r="C128" s="476" t="s">
        <v>198</v>
      </c>
      <c r="D128" s="106">
        <v>121</v>
      </c>
      <c r="E128" s="106" t="s">
        <v>199</v>
      </c>
      <c r="F128" s="140"/>
      <c r="G128" s="140"/>
      <c r="H128" s="140"/>
      <c r="I128" s="140"/>
      <c r="J128" s="116">
        <f t="shared" si="9"/>
        <v>0</v>
      </c>
      <c r="K128" s="162"/>
      <c r="L128" s="162"/>
      <c r="M128" s="140"/>
      <c r="N128" s="140"/>
      <c r="O128" s="140"/>
      <c r="P128" s="116">
        <f t="shared" ref="P128:P133" si="11">N128+O128</f>
        <v>0</v>
      </c>
      <c r="Q128" s="140"/>
      <c r="R128" s="140"/>
      <c r="S128" s="140"/>
      <c r="T128" s="140"/>
      <c r="U128" s="140"/>
      <c r="V128" s="140"/>
      <c r="W128" s="117"/>
      <c r="X128" s="117">
        <f t="shared" si="2"/>
        <v>0</v>
      </c>
      <c r="Y128" s="135"/>
    </row>
    <row r="129" spans="1:25" ht="27" customHeight="1">
      <c r="A129" s="469"/>
      <c r="B129" s="469"/>
      <c r="C129" s="469"/>
      <c r="D129" s="106">
        <v>122</v>
      </c>
      <c r="E129" s="106" t="s">
        <v>200</v>
      </c>
      <c r="F129" s="140"/>
      <c r="G129" s="140"/>
      <c r="H129" s="140"/>
      <c r="I129" s="140"/>
      <c r="J129" s="116">
        <f t="shared" si="9"/>
        <v>0</v>
      </c>
      <c r="K129" s="140"/>
      <c r="L129" s="140"/>
      <c r="M129" s="140"/>
      <c r="N129" s="140"/>
      <c r="O129" s="140"/>
      <c r="P129" s="116">
        <f t="shared" si="11"/>
        <v>0</v>
      </c>
      <c r="Q129" s="140"/>
      <c r="R129" s="140"/>
      <c r="S129" s="140"/>
      <c r="T129" s="140"/>
      <c r="U129" s="140"/>
      <c r="V129" s="140"/>
      <c r="W129" s="117"/>
      <c r="X129" s="117">
        <f t="shared" si="2"/>
        <v>0</v>
      </c>
      <c r="Y129" s="135"/>
    </row>
    <row r="130" spans="1:25" ht="25.5" hidden="1" customHeight="1">
      <c r="A130" s="469"/>
      <c r="B130" s="469"/>
      <c r="C130" s="469"/>
      <c r="D130" s="106">
        <v>123</v>
      </c>
      <c r="E130" s="106" t="s">
        <v>201</v>
      </c>
      <c r="F130" s="140"/>
      <c r="G130" s="140"/>
      <c r="H130" s="140"/>
      <c r="I130" s="140"/>
      <c r="J130" s="116">
        <f t="shared" si="9"/>
        <v>0</v>
      </c>
      <c r="K130" s="140"/>
      <c r="L130" s="140"/>
      <c r="M130" s="140"/>
      <c r="N130" s="140"/>
      <c r="O130" s="140"/>
      <c r="P130" s="116">
        <f t="shared" si="11"/>
        <v>0</v>
      </c>
      <c r="Q130" s="140"/>
      <c r="R130" s="140"/>
      <c r="S130" s="161"/>
      <c r="T130" s="161"/>
      <c r="U130" s="140"/>
      <c r="V130" s="140"/>
      <c r="W130" s="117"/>
      <c r="X130" s="117">
        <f t="shared" si="2"/>
        <v>0</v>
      </c>
      <c r="Y130" s="98"/>
    </row>
    <row r="131" spans="1:25" ht="31.5">
      <c r="A131" s="469"/>
      <c r="B131" s="476" t="s">
        <v>202</v>
      </c>
      <c r="C131" s="476" t="s">
        <v>203</v>
      </c>
      <c r="D131" s="106">
        <v>124</v>
      </c>
      <c r="E131" s="106" t="s">
        <v>204</v>
      </c>
      <c r="F131" s="140"/>
      <c r="G131" s="140"/>
      <c r="H131" s="140"/>
      <c r="I131" s="161"/>
      <c r="J131" s="125">
        <f t="shared" si="9"/>
        <v>0</v>
      </c>
      <c r="K131" s="140"/>
      <c r="L131" s="140"/>
      <c r="M131" s="140"/>
      <c r="N131" s="140"/>
      <c r="O131" s="140"/>
      <c r="P131" s="116">
        <f t="shared" si="11"/>
        <v>0</v>
      </c>
      <c r="Q131" s="140"/>
      <c r="R131" s="140"/>
      <c r="S131" s="140"/>
      <c r="T131" s="140">
        <v>0</v>
      </c>
      <c r="U131" s="140"/>
      <c r="V131" s="140"/>
      <c r="W131" s="117"/>
      <c r="X131" s="117">
        <f t="shared" si="2"/>
        <v>0</v>
      </c>
      <c r="Y131" s="135"/>
    </row>
    <row r="132" spans="1:25" ht="46.5" customHeight="1">
      <c r="A132" s="469"/>
      <c r="B132" s="469"/>
      <c r="C132" s="469"/>
      <c r="D132" s="106">
        <v>125</v>
      </c>
      <c r="E132" s="106" t="s">
        <v>205</v>
      </c>
      <c r="F132" s="140"/>
      <c r="G132" s="140"/>
      <c r="H132" s="140"/>
      <c r="I132" s="161"/>
      <c r="J132" s="125">
        <f t="shared" si="9"/>
        <v>0</v>
      </c>
      <c r="K132" s="140"/>
      <c r="L132" s="140"/>
      <c r="M132" s="140"/>
      <c r="N132" s="140"/>
      <c r="O132" s="140"/>
      <c r="P132" s="116">
        <f t="shared" si="11"/>
        <v>0</v>
      </c>
      <c r="Q132" s="140"/>
      <c r="R132" s="140"/>
      <c r="S132" s="140"/>
      <c r="T132" s="140">
        <v>0</v>
      </c>
      <c r="U132" s="140"/>
      <c r="V132" s="140"/>
      <c r="W132" s="117"/>
      <c r="X132" s="117">
        <f t="shared" si="2"/>
        <v>0</v>
      </c>
      <c r="Y132" s="135"/>
    </row>
    <row r="133" spans="1:25" ht="57.75" hidden="1" customHeight="1">
      <c r="A133" s="469"/>
      <c r="B133" s="106" t="s">
        <v>206</v>
      </c>
      <c r="C133" s="106" t="s">
        <v>207</v>
      </c>
      <c r="D133" s="106">
        <v>126</v>
      </c>
      <c r="E133" s="106" t="s">
        <v>142</v>
      </c>
      <c r="F133" s="120"/>
      <c r="G133" s="120"/>
      <c r="H133" s="120"/>
      <c r="I133" s="120"/>
      <c r="J133" s="116">
        <f t="shared" si="9"/>
        <v>0</v>
      </c>
      <c r="K133" s="120"/>
      <c r="L133" s="120"/>
      <c r="M133" s="120"/>
      <c r="N133" s="120"/>
      <c r="O133" s="120"/>
      <c r="P133" s="116">
        <f t="shared" si="11"/>
        <v>0</v>
      </c>
      <c r="Q133" s="120"/>
      <c r="R133" s="120"/>
      <c r="S133" s="120"/>
      <c r="T133" s="120"/>
      <c r="U133" s="120"/>
      <c r="V133" s="120"/>
      <c r="W133" s="117"/>
      <c r="X133" s="117">
        <f t="shared" si="2"/>
        <v>0</v>
      </c>
      <c r="Y133" s="97"/>
    </row>
    <row r="134" spans="1:25" ht="26.25" customHeight="1">
      <c r="A134" s="469"/>
      <c r="B134" s="476" t="s">
        <v>208</v>
      </c>
      <c r="C134" s="469"/>
      <c r="D134" s="469"/>
      <c r="E134" s="106"/>
      <c r="F134" s="100">
        <f t="shared" ref="F134:W134" si="12">SUM(F94:F133)</f>
        <v>0</v>
      </c>
      <c r="G134" s="100">
        <f t="shared" si="12"/>
        <v>0</v>
      </c>
      <c r="H134" s="100">
        <f t="shared" si="12"/>
        <v>0</v>
      </c>
      <c r="I134" s="100">
        <f t="shared" si="12"/>
        <v>10</v>
      </c>
      <c r="J134" s="100">
        <f t="shared" si="12"/>
        <v>10</v>
      </c>
      <c r="K134" s="100">
        <f t="shared" si="12"/>
        <v>0</v>
      </c>
      <c r="L134" s="100">
        <f t="shared" si="12"/>
        <v>13.899999999999999</v>
      </c>
      <c r="M134" s="100">
        <f t="shared" si="12"/>
        <v>0</v>
      </c>
      <c r="N134" s="100">
        <f t="shared" si="12"/>
        <v>0</v>
      </c>
      <c r="O134" s="102">
        <f t="shared" si="12"/>
        <v>15</v>
      </c>
      <c r="P134" s="102">
        <f t="shared" si="12"/>
        <v>15</v>
      </c>
      <c r="Q134" s="100">
        <f t="shared" si="12"/>
        <v>0</v>
      </c>
      <c r="R134" s="100">
        <f t="shared" si="12"/>
        <v>7.13</v>
      </c>
      <c r="S134" s="100">
        <f t="shared" si="12"/>
        <v>0</v>
      </c>
      <c r="T134" s="100">
        <f t="shared" si="12"/>
        <v>47.96</v>
      </c>
      <c r="U134" s="100">
        <f t="shared" si="12"/>
        <v>0</v>
      </c>
      <c r="V134" s="100">
        <f t="shared" si="12"/>
        <v>0</v>
      </c>
      <c r="W134" s="102">
        <f t="shared" si="12"/>
        <v>0</v>
      </c>
      <c r="X134" s="100">
        <f t="shared" si="2"/>
        <v>93.990000000000009</v>
      </c>
      <c r="Y134" s="253"/>
    </row>
    <row r="135" spans="1:25" ht="78.75">
      <c r="A135" s="477" t="s">
        <v>209</v>
      </c>
      <c r="B135" s="476" t="s">
        <v>210</v>
      </c>
      <c r="C135" s="476" t="s">
        <v>211</v>
      </c>
      <c r="D135" s="106">
        <v>127</v>
      </c>
      <c r="E135" s="106" t="s">
        <v>212</v>
      </c>
      <c r="F135" s="120"/>
      <c r="G135" s="120"/>
      <c r="H135" s="120"/>
      <c r="I135" s="120"/>
      <c r="J135" s="116">
        <f t="shared" ref="J135:J157" si="13">H135+I135</f>
        <v>0</v>
      </c>
      <c r="K135" s="120"/>
      <c r="L135" s="120"/>
      <c r="M135" s="120"/>
      <c r="N135" s="120"/>
      <c r="O135" s="120"/>
      <c r="P135" s="116">
        <f t="shared" ref="P135:P157" si="14">N135+O135</f>
        <v>0</v>
      </c>
      <c r="Q135" s="120"/>
      <c r="R135" s="120"/>
      <c r="S135" s="120"/>
      <c r="T135" s="120"/>
      <c r="U135" s="120"/>
      <c r="V135" s="120"/>
      <c r="W135" s="117"/>
      <c r="X135" s="117">
        <f t="shared" si="2"/>
        <v>0</v>
      </c>
      <c r="Y135" s="97"/>
    </row>
    <row r="136" spans="1:25" ht="39" customHeight="1">
      <c r="A136" s="469"/>
      <c r="B136" s="469"/>
      <c r="C136" s="469"/>
      <c r="D136" s="106">
        <v>128</v>
      </c>
      <c r="E136" s="106" t="s">
        <v>213</v>
      </c>
      <c r="F136" s="120"/>
      <c r="G136" s="120"/>
      <c r="H136" s="120"/>
      <c r="I136" s="120"/>
      <c r="J136" s="116">
        <f t="shared" si="13"/>
        <v>0</v>
      </c>
      <c r="K136" s="120"/>
      <c r="L136" s="120"/>
      <c r="M136" s="120"/>
      <c r="N136" s="120"/>
      <c r="O136" s="122"/>
      <c r="P136" s="117">
        <f t="shared" si="14"/>
        <v>0</v>
      </c>
      <c r="Q136" s="120"/>
      <c r="R136" s="120"/>
      <c r="S136" s="163"/>
      <c r="T136" s="163"/>
      <c r="U136" s="120"/>
      <c r="V136" s="120"/>
      <c r="W136" s="117"/>
      <c r="X136" s="117">
        <f t="shared" si="2"/>
        <v>0</v>
      </c>
      <c r="Y136" s="135"/>
    </row>
    <row r="137" spans="1:25" ht="47.25">
      <c r="A137" s="469"/>
      <c r="B137" s="106"/>
      <c r="C137" s="106"/>
      <c r="D137" s="106">
        <v>129</v>
      </c>
      <c r="E137" s="106" t="s">
        <v>214</v>
      </c>
      <c r="F137" s="120"/>
      <c r="G137" s="120"/>
      <c r="H137" s="120"/>
      <c r="I137" s="120"/>
      <c r="J137" s="116">
        <f t="shared" si="13"/>
        <v>0</v>
      </c>
      <c r="K137" s="120"/>
      <c r="L137" s="120"/>
      <c r="M137" s="120"/>
      <c r="N137" s="120"/>
      <c r="O137" s="120"/>
      <c r="P137" s="116">
        <f t="shared" si="14"/>
        <v>0</v>
      </c>
      <c r="Q137" s="120"/>
      <c r="R137" s="120"/>
      <c r="S137" s="120"/>
      <c r="T137" s="120"/>
      <c r="U137" s="120"/>
      <c r="V137" s="120"/>
      <c r="W137" s="117"/>
      <c r="X137" s="117">
        <f t="shared" si="2"/>
        <v>0</v>
      </c>
      <c r="Y137" s="97"/>
    </row>
    <row r="138" spans="1:25" ht="110.25">
      <c r="A138" s="469"/>
      <c r="B138" s="476" t="s">
        <v>215</v>
      </c>
      <c r="C138" s="476" t="s">
        <v>216</v>
      </c>
      <c r="D138" s="106">
        <v>130</v>
      </c>
      <c r="E138" s="106" t="s">
        <v>217</v>
      </c>
      <c r="F138" s="120"/>
      <c r="G138" s="120"/>
      <c r="H138" s="120"/>
      <c r="I138" s="120"/>
      <c r="J138" s="116">
        <f t="shared" si="13"/>
        <v>0</v>
      </c>
      <c r="K138" s="120"/>
      <c r="L138" s="120"/>
      <c r="M138" s="120"/>
      <c r="N138" s="120"/>
      <c r="O138" s="120"/>
      <c r="P138" s="116">
        <f t="shared" si="14"/>
        <v>0</v>
      </c>
      <c r="Q138" s="120"/>
      <c r="R138" s="120"/>
      <c r="S138" s="120"/>
      <c r="T138" s="120"/>
      <c r="U138" s="120"/>
      <c r="V138" s="120"/>
      <c r="W138" s="117"/>
      <c r="X138" s="117">
        <f t="shared" si="2"/>
        <v>0</v>
      </c>
      <c r="Y138" s="97"/>
    </row>
    <row r="139" spans="1:25" ht="15.75">
      <c r="A139" s="469"/>
      <c r="B139" s="469"/>
      <c r="C139" s="469"/>
      <c r="D139" s="106">
        <v>131</v>
      </c>
      <c r="E139" s="106" t="s">
        <v>218</v>
      </c>
      <c r="F139" s="120"/>
      <c r="G139" s="120"/>
      <c r="H139" s="120"/>
      <c r="I139" s="120"/>
      <c r="J139" s="116">
        <f t="shared" si="13"/>
        <v>0</v>
      </c>
      <c r="K139" s="120"/>
      <c r="L139" s="120"/>
      <c r="M139" s="120"/>
      <c r="N139" s="120"/>
      <c r="O139" s="120"/>
      <c r="P139" s="116">
        <f t="shared" si="14"/>
        <v>0</v>
      </c>
      <c r="Q139" s="120"/>
      <c r="R139" s="120"/>
      <c r="S139" s="120"/>
      <c r="T139" s="140"/>
      <c r="U139" s="120"/>
      <c r="V139" s="120"/>
      <c r="W139" s="117"/>
      <c r="X139" s="117">
        <f t="shared" si="2"/>
        <v>0</v>
      </c>
      <c r="Y139" s="135"/>
    </row>
    <row r="140" spans="1:25" ht="15.75">
      <c r="A140" s="469"/>
      <c r="B140" s="469"/>
      <c r="C140" s="469"/>
      <c r="D140" s="106">
        <v>132</v>
      </c>
      <c r="E140" s="106" t="s">
        <v>219</v>
      </c>
      <c r="F140" s="120"/>
      <c r="G140" s="120"/>
      <c r="H140" s="120"/>
      <c r="I140" s="120"/>
      <c r="J140" s="116">
        <f t="shared" si="13"/>
        <v>0</v>
      </c>
      <c r="K140" s="120"/>
      <c r="L140" s="120"/>
      <c r="M140" s="120"/>
      <c r="N140" s="120"/>
      <c r="O140" s="120"/>
      <c r="P140" s="116">
        <f t="shared" si="14"/>
        <v>0</v>
      </c>
      <c r="Q140" s="120"/>
      <c r="R140" s="120"/>
      <c r="S140" s="120"/>
      <c r="T140" s="120"/>
      <c r="U140" s="120"/>
      <c r="V140" s="120"/>
      <c r="W140" s="117"/>
      <c r="X140" s="117">
        <f t="shared" si="2"/>
        <v>0</v>
      </c>
      <c r="Y140" s="97"/>
    </row>
    <row r="141" spans="1:25" ht="15.75">
      <c r="A141" s="469"/>
      <c r="B141" s="469"/>
      <c r="C141" s="469"/>
      <c r="D141" s="106">
        <v>133</v>
      </c>
      <c r="E141" s="106" t="s">
        <v>220</v>
      </c>
      <c r="F141" s="120"/>
      <c r="G141" s="120"/>
      <c r="H141" s="120"/>
      <c r="I141" s="120"/>
      <c r="J141" s="116">
        <f t="shared" si="13"/>
        <v>0</v>
      </c>
      <c r="K141" s="120"/>
      <c r="L141" s="120"/>
      <c r="M141" s="120"/>
      <c r="N141" s="120"/>
      <c r="O141" s="120"/>
      <c r="P141" s="116">
        <f t="shared" si="14"/>
        <v>0</v>
      </c>
      <c r="Q141" s="120"/>
      <c r="R141" s="120"/>
      <c r="S141" s="120"/>
      <c r="T141" s="120"/>
      <c r="U141" s="120"/>
      <c r="V141" s="120"/>
      <c r="W141" s="117"/>
      <c r="X141" s="117">
        <f t="shared" si="2"/>
        <v>0</v>
      </c>
      <c r="Y141" s="97"/>
    </row>
    <row r="142" spans="1:25" ht="126">
      <c r="A142" s="469"/>
      <c r="B142" s="469"/>
      <c r="C142" s="469"/>
      <c r="D142" s="106">
        <v>134</v>
      </c>
      <c r="E142" s="106" t="s">
        <v>221</v>
      </c>
      <c r="F142" s="120"/>
      <c r="G142" s="120"/>
      <c r="H142" s="120"/>
      <c r="I142" s="120"/>
      <c r="J142" s="116">
        <f t="shared" si="13"/>
        <v>0</v>
      </c>
      <c r="K142" s="120"/>
      <c r="L142" s="120"/>
      <c r="M142" s="120"/>
      <c r="N142" s="120"/>
      <c r="O142" s="120"/>
      <c r="P142" s="116">
        <f t="shared" si="14"/>
        <v>0</v>
      </c>
      <c r="Q142" s="120"/>
      <c r="R142" s="120"/>
      <c r="S142" s="122"/>
      <c r="T142" s="122">
        <f>(5*0.025*12)</f>
        <v>1.5</v>
      </c>
      <c r="U142" s="120"/>
      <c r="V142" s="120"/>
      <c r="W142" s="117"/>
      <c r="X142" s="117">
        <f t="shared" si="2"/>
        <v>1.5</v>
      </c>
      <c r="Y142" s="254" t="s">
        <v>668</v>
      </c>
    </row>
    <row r="143" spans="1:25" ht="63">
      <c r="A143" s="469"/>
      <c r="B143" s="469"/>
      <c r="C143" s="469"/>
      <c r="D143" s="106">
        <v>135</v>
      </c>
      <c r="E143" s="106" t="s">
        <v>223</v>
      </c>
      <c r="F143" s="120"/>
      <c r="G143" s="120"/>
      <c r="H143" s="120"/>
      <c r="I143" s="120"/>
      <c r="J143" s="116">
        <f t="shared" si="13"/>
        <v>0</v>
      </c>
      <c r="K143" s="120"/>
      <c r="L143" s="120"/>
      <c r="M143" s="120"/>
      <c r="N143" s="120"/>
      <c r="O143" s="120"/>
      <c r="P143" s="116">
        <f t="shared" si="14"/>
        <v>0</v>
      </c>
      <c r="Q143" s="120"/>
      <c r="R143" s="120"/>
      <c r="S143" s="120"/>
      <c r="T143" s="120"/>
      <c r="U143" s="120"/>
      <c r="V143" s="120"/>
      <c r="W143" s="117"/>
      <c r="X143" s="117">
        <f t="shared" si="2"/>
        <v>0</v>
      </c>
      <c r="Y143" s="97"/>
    </row>
    <row r="144" spans="1:25" ht="63">
      <c r="A144" s="469"/>
      <c r="B144" s="469"/>
      <c r="C144" s="469"/>
      <c r="D144" s="106">
        <v>136</v>
      </c>
      <c r="E144" s="106" t="s">
        <v>224</v>
      </c>
      <c r="F144" s="120"/>
      <c r="G144" s="120"/>
      <c r="H144" s="120"/>
      <c r="I144" s="120"/>
      <c r="J144" s="116">
        <f t="shared" si="13"/>
        <v>0</v>
      </c>
      <c r="K144" s="120"/>
      <c r="L144" s="120"/>
      <c r="M144" s="120"/>
      <c r="N144" s="120"/>
      <c r="O144" s="120"/>
      <c r="P144" s="116">
        <f t="shared" si="14"/>
        <v>0</v>
      </c>
      <c r="Q144" s="120"/>
      <c r="R144" s="120"/>
      <c r="S144" s="122"/>
      <c r="T144" s="122"/>
      <c r="U144" s="120"/>
      <c r="V144" s="120"/>
      <c r="W144" s="117"/>
      <c r="X144" s="117">
        <f t="shared" si="2"/>
        <v>0</v>
      </c>
      <c r="Y144" s="135"/>
    </row>
    <row r="145" spans="1:25" ht="15.75">
      <c r="A145" s="469"/>
      <c r="B145" s="476" t="s">
        <v>225</v>
      </c>
      <c r="C145" s="476" t="s">
        <v>226</v>
      </c>
      <c r="D145" s="106">
        <v>137</v>
      </c>
      <c r="E145" s="106" t="s">
        <v>227</v>
      </c>
      <c r="F145" s="120"/>
      <c r="G145" s="120"/>
      <c r="H145" s="120"/>
      <c r="I145" s="120"/>
      <c r="J145" s="116">
        <f t="shared" si="13"/>
        <v>0</v>
      </c>
      <c r="K145" s="120"/>
      <c r="L145" s="120"/>
      <c r="M145" s="120"/>
      <c r="N145" s="120"/>
      <c r="O145" s="120"/>
      <c r="P145" s="116">
        <f t="shared" si="14"/>
        <v>0</v>
      </c>
      <c r="Q145" s="122"/>
      <c r="R145" s="122"/>
      <c r="S145" s="122"/>
      <c r="T145" s="122"/>
      <c r="U145" s="120"/>
      <c r="V145" s="120"/>
      <c r="W145" s="117"/>
      <c r="X145" s="117">
        <f t="shared" si="2"/>
        <v>0</v>
      </c>
      <c r="Y145" s="135"/>
    </row>
    <row r="146" spans="1:25" ht="47.25">
      <c r="A146" s="469"/>
      <c r="B146" s="469"/>
      <c r="C146" s="469"/>
      <c r="D146" s="106">
        <v>138</v>
      </c>
      <c r="E146" s="106" t="s">
        <v>228</v>
      </c>
      <c r="F146" s="120"/>
      <c r="G146" s="120"/>
      <c r="H146" s="120"/>
      <c r="I146" s="122"/>
      <c r="J146" s="117">
        <f t="shared" si="13"/>
        <v>0</v>
      </c>
      <c r="K146" s="122"/>
      <c r="L146" s="122"/>
      <c r="M146" s="120"/>
      <c r="N146" s="120"/>
      <c r="O146" s="122"/>
      <c r="P146" s="117">
        <f t="shared" si="14"/>
        <v>0</v>
      </c>
      <c r="Q146" s="122"/>
      <c r="R146" s="122"/>
      <c r="S146" s="120"/>
      <c r="T146" s="120"/>
      <c r="U146" s="120"/>
      <c r="V146" s="120"/>
      <c r="W146" s="117"/>
      <c r="X146" s="117">
        <f t="shared" si="2"/>
        <v>0</v>
      </c>
      <c r="Y146" s="135"/>
    </row>
    <row r="147" spans="1:25" ht="78.75">
      <c r="A147" s="469"/>
      <c r="B147" s="476" t="s">
        <v>229</v>
      </c>
      <c r="C147" s="476" t="s">
        <v>230</v>
      </c>
      <c r="D147" s="106">
        <v>139</v>
      </c>
      <c r="E147" s="106" t="s">
        <v>231</v>
      </c>
      <c r="F147" s="120"/>
      <c r="G147" s="120"/>
      <c r="H147" s="120"/>
      <c r="I147" s="120"/>
      <c r="J147" s="116">
        <f t="shared" si="13"/>
        <v>0</v>
      </c>
      <c r="K147" s="120"/>
      <c r="L147" s="120"/>
      <c r="M147" s="120"/>
      <c r="N147" s="120"/>
      <c r="O147" s="120"/>
      <c r="P147" s="116">
        <f t="shared" si="14"/>
        <v>0</v>
      </c>
      <c r="Q147" s="120"/>
      <c r="R147" s="120"/>
      <c r="S147" s="122"/>
      <c r="T147" s="122">
        <f>1*0.5</f>
        <v>0.5</v>
      </c>
      <c r="U147" s="120"/>
      <c r="V147" s="120"/>
      <c r="W147" s="117"/>
      <c r="X147" s="117">
        <f t="shared" si="2"/>
        <v>0.5</v>
      </c>
      <c r="Y147" s="135" t="s">
        <v>669</v>
      </c>
    </row>
    <row r="148" spans="1:25" ht="94.5">
      <c r="A148" s="469"/>
      <c r="B148" s="469"/>
      <c r="C148" s="469"/>
      <c r="D148" s="106">
        <v>140</v>
      </c>
      <c r="E148" s="106" t="s">
        <v>232</v>
      </c>
      <c r="F148" s="120"/>
      <c r="G148" s="120"/>
      <c r="H148" s="120"/>
      <c r="I148" s="120"/>
      <c r="J148" s="116">
        <f t="shared" si="13"/>
        <v>0</v>
      </c>
      <c r="K148" s="120"/>
      <c r="L148" s="120"/>
      <c r="M148" s="120"/>
      <c r="N148" s="120"/>
      <c r="O148" s="120"/>
      <c r="P148" s="116">
        <f t="shared" si="14"/>
        <v>0</v>
      </c>
      <c r="Q148" s="120"/>
      <c r="R148" s="120"/>
      <c r="S148" s="122"/>
      <c r="T148" s="122">
        <v>0.68</v>
      </c>
      <c r="U148" s="120"/>
      <c r="V148" s="120"/>
      <c r="W148" s="117"/>
      <c r="X148" s="117">
        <f t="shared" si="2"/>
        <v>0.68</v>
      </c>
      <c r="Y148" s="234" t="s">
        <v>670</v>
      </c>
    </row>
    <row r="149" spans="1:25" ht="31.5" hidden="1">
      <c r="A149" s="469"/>
      <c r="B149" s="469"/>
      <c r="C149" s="469"/>
      <c r="D149" s="106">
        <v>141</v>
      </c>
      <c r="E149" s="106" t="s">
        <v>233</v>
      </c>
      <c r="F149" s="120"/>
      <c r="G149" s="120"/>
      <c r="H149" s="120"/>
      <c r="I149" s="120"/>
      <c r="J149" s="116">
        <f t="shared" si="13"/>
        <v>0</v>
      </c>
      <c r="K149" s="120"/>
      <c r="L149" s="120"/>
      <c r="M149" s="120"/>
      <c r="N149" s="120"/>
      <c r="O149" s="120"/>
      <c r="P149" s="116">
        <f t="shared" si="14"/>
        <v>0</v>
      </c>
      <c r="Q149" s="120"/>
      <c r="R149" s="120"/>
      <c r="S149" s="120"/>
      <c r="T149" s="120"/>
      <c r="U149" s="120"/>
      <c r="V149" s="120"/>
      <c r="W149" s="117"/>
      <c r="X149" s="117">
        <f t="shared" si="2"/>
        <v>0</v>
      </c>
      <c r="Y149" s="97"/>
    </row>
    <row r="150" spans="1:25" ht="63">
      <c r="A150" s="469"/>
      <c r="B150" s="476" t="s">
        <v>234</v>
      </c>
      <c r="C150" s="476" t="s">
        <v>235</v>
      </c>
      <c r="D150" s="106">
        <v>142</v>
      </c>
      <c r="E150" s="106" t="s">
        <v>236</v>
      </c>
      <c r="F150" s="120"/>
      <c r="G150" s="120"/>
      <c r="H150" s="120"/>
      <c r="I150" s="120"/>
      <c r="J150" s="116">
        <f t="shared" si="13"/>
        <v>0</v>
      </c>
      <c r="K150" s="120"/>
      <c r="L150" s="120"/>
      <c r="M150" s="120"/>
      <c r="N150" s="120"/>
      <c r="O150" s="120"/>
      <c r="P150" s="116">
        <f t="shared" si="14"/>
        <v>0</v>
      </c>
      <c r="Q150" s="120"/>
      <c r="R150" s="120"/>
      <c r="S150" s="150"/>
      <c r="T150" s="150">
        <v>902</v>
      </c>
      <c r="U150" s="120"/>
      <c r="V150" s="120"/>
      <c r="W150" s="117"/>
      <c r="X150" s="117">
        <f t="shared" si="2"/>
        <v>902</v>
      </c>
      <c r="Y150" s="97" t="s">
        <v>671</v>
      </c>
    </row>
    <row r="151" spans="1:25" ht="78.75">
      <c r="A151" s="469"/>
      <c r="B151" s="469"/>
      <c r="C151" s="469"/>
      <c r="D151" s="106">
        <v>143</v>
      </c>
      <c r="E151" s="106" t="s">
        <v>237</v>
      </c>
      <c r="F151" s="120"/>
      <c r="G151" s="120"/>
      <c r="H151" s="120"/>
      <c r="I151" s="120"/>
      <c r="J151" s="116">
        <f t="shared" si="13"/>
        <v>0</v>
      </c>
      <c r="K151" s="120"/>
      <c r="L151" s="120"/>
      <c r="M151" s="120"/>
      <c r="N151" s="120"/>
      <c r="O151" s="120"/>
      <c r="P151" s="116">
        <f t="shared" si="14"/>
        <v>0</v>
      </c>
      <c r="Q151" s="120"/>
      <c r="R151" s="120"/>
      <c r="S151" s="120"/>
      <c r="T151" s="120"/>
      <c r="U151" s="120"/>
      <c r="V151" s="120"/>
      <c r="W151" s="117"/>
      <c r="X151" s="117">
        <f t="shared" si="2"/>
        <v>0</v>
      </c>
      <c r="Y151" s="97"/>
    </row>
    <row r="152" spans="1:25" ht="31.5">
      <c r="A152" s="469"/>
      <c r="B152" s="469"/>
      <c r="C152" s="469"/>
      <c r="D152" s="106">
        <v>144</v>
      </c>
      <c r="E152" s="106" t="s">
        <v>238</v>
      </c>
      <c r="F152" s="120"/>
      <c r="G152" s="120"/>
      <c r="H152" s="120"/>
      <c r="I152" s="120"/>
      <c r="J152" s="116">
        <f t="shared" si="13"/>
        <v>0</v>
      </c>
      <c r="K152" s="120"/>
      <c r="L152" s="120"/>
      <c r="M152" s="120"/>
      <c r="N152" s="120"/>
      <c r="O152" s="120"/>
      <c r="P152" s="116">
        <f t="shared" si="14"/>
        <v>0</v>
      </c>
      <c r="Q152" s="120"/>
      <c r="R152" s="120"/>
      <c r="S152" s="120"/>
      <c r="T152" s="120"/>
      <c r="U152" s="120"/>
      <c r="V152" s="120"/>
      <c r="W152" s="117"/>
      <c r="X152" s="117">
        <f t="shared" si="2"/>
        <v>0</v>
      </c>
      <c r="Y152" s="97"/>
    </row>
    <row r="153" spans="1:25" ht="63">
      <c r="A153" s="469"/>
      <c r="B153" s="469"/>
      <c r="C153" s="469"/>
      <c r="D153" s="106">
        <v>145</v>
      </c>
      <c r="E153" s="106" t="s">
        <v>295</v>
      </c>
      <c r="F153" s="120"/>
      <c r="G153" s="120"/>
      <c r="H153" s="120"/>
      <c r="I153" s="120"/>
      <c r="J153" s="116">
        <f t="shared" si="13"/>
        <v>0</v>
      </c>
      <c r="K153" s="120"/>
      <c r="L153" s="120"/>
      <c r="M153" s="120"/>
      <c r="N153" s="120"/>
      <c r="O153" s="120"/>
      <c r="P153" s="116">
        <f t="shared" si="14"/>
        <v>0</v>
      </c>
      <c r="Q153" s="120"/>
      <c r="R153" s="120"/>
      <c r="S153" s="120"/>
      <c r="T153" s="120"/>
      <c r="U153" s="120"/>
      <c r="V153" s="120"/>
      <c r="W153" s="117"/>
      <c r="X153" s="117">
        <f t="shared" si="2"/>
        <v>0</v>
      </c>
      <c r="Y153" s="97"/>
    </row>
    <row r="154" spans="1:25" ht="126">
      <c r="A154" s="469"/>
      <c r="B154" s="106" t="s">
        <v>240</v>
      </c>
      <c r="C154" s="106" t="s">
        <v>241</v>
      </c>
      <c r="D154" s="106">
        <v>146</v>
      </c>
      <c r="E154" s="106" t="s">
        <v>242</v>
      </c>
      <c r="F154" s="120"/>
      <c r="G154" s="120"/>
      <c r="H154" s="120"/>
      <c r="I154" s="120"/>
      <c r="J154" s="116">
        <f t="shared" si="13"/>
        <v>0</v>
      </c>
      <c r="K154" s="120"/>
      <c r="L154" s="120"/>
      <c r="M154" s="120"/>
      <c r="N154" s="120"/>
      <c r="O154" s="120"/>
      <c r="P154" s="116">
        <f t="shared" si="14"/>
        <v>0</v>
      </c>
      <c r="Q154" s="120"/>
      <c r="R154" s="120"/>
      <c r="S154" s="120"/>
      <c r="T154" s="120">
        <f>(0.4*12)+(12*0.1)</f>
        <v>6.0000000000000009</v>
      </c>
      <c r="U154" s="120"/>
      <c r="V154" s="120"/>
      <c r="W154" s="117"/>
      <c r="X154" s="117">
        <f t="shared" si="2"/>
        <v>6.0000000000000009</v>
      </c>
      <c r="Y154" s="256" t="s">
        <v>672</v>
      </c>
    </row>
    <row r="155" spans="1:25" ht="31.5">
      <c r="A155" s="469"/>
      <c r="B155" s="106" t="s">
        <v>243</v>
      </c>
      <c r="C155" s="106" t="s">
        <v>244</v>
      </c>
      <c r="D155" s="106">
        <v>147</v>
      </c>
      <c r="E155" s="106" t="s">
        <v>125</v>
      </c>
      <c r="F155" s="120"/>
      <c r="G155" s="120"/>
      <c r="H155" s="120"/>
      <c r="I155" s="120"/>
      <c r="J155" s="116">
        <f t="shared" si="13"/>
        <v>0</v>
      </c>
      <c r="K155" s="120"/>
      <c r="L155" s="120"/>
      <c r="M155" s="120"/>
      <c r="N155" s="120"/>
      <c r="O155" s="120"/>
      <c r="P155" s="116">
        <f t="shared" si="14"/>
        <v>0</v>
      </c>
      <c r="Q155" s="120"/>
      <c r="R155" s="120"/>
      <c r="S155" s="120"/>
      <c r="T155" s="120"/>
      <c r="U155" s="120"/>
      <c r="V155" s="120"/>
      <c r="W155" s="117"/>
      <c r="X155" s="117">
        <f t="shared" si="2"/>
        <v>0</v>
      </c>
      <c r="Y155" s="97"/>
    </row>
    <row r="156" spans="1:25" ht="78.75" hidden="1">
      <c r="A156" s="469"/>
      <c r="B156" s="106" t="s">
        <v>245</v>
      </c>
      <c r="C156" s="106" t="s">
        <v>246</v>
      </c>
      <c r="D156" s="106">
        <v>148</v>
      </c>
      <c r="E156" s="106" t="s">
        <v>247</v>
      </c>
      <c r="F156" s="120"/>
      <c r="G156" s="120"/>
      <c r="H156" s="120"/>
      <c r="I156" s="120"/>
      <c r="J156" s="116">
        <f t="shared" si="13"/>
        <v>0</v>
      </c>
      <c r="K156" s="120"/>
      <c r="L156" s="120"/>
      <c r="M156" s="120"/>
      <c r="N156" s="120"/>
      <c r="O156" s="120"/>
      <c r="P156" s="116">
        <f t="shared" si="14"/>
        <v>0</v>
      </c>
      <c r="Q156" s="120"/>
      <c r="R156" s="120"/>
      <c r="S156" s="122"/>
      <c r="T156" s="122"/>
      <c r="U156" s="120"/>
      <c r="V156" s="120"/>
      <c r="W156" s="117"/>
      <c r="X156" s="117">
        <f t="shared" si="2"/>
        <v>0</v>
      </c>
      <c r="Y156" s="135"/>
    </row>
    <row r="157" spans="1:25" ht="94.5">
      <c r="A157" s="469"/>
      <c r="B157" s="106" t="s">
        <v>248</v>
      </c>
      <c r="C157" s="106" t="s">
        <v>249</v>
      </c>
      <c r="D157" s="106">
        <v>149</v>
      </c>
      <c r="E157" s="106" t="s">
        <v>250</v>
      </c>
      <c r="F157" s="151"/>
      <c r="G157" s="151"/>
      <c r="H157" s="151"/>
      <c r="I157" s="151"/>
      <c r="J157" s="116">
        <f t="shared" si="13"/>
        <v>0</v>
      </c>
      <c r="K157" s="151"/>
      <c r="L157" s="151"/>
      <c r="M157" s="151"/>
      <c r="N157" s="151"/>
      <c r="O157" s="151"/>
      <c r="P157" s="116">
        <f t="shared" si="14"/>
        <v>0</v>
      </c>
      <c r="Q157" s="151"/>
      <c r="R157" s="151"/>
      <c r="S157" s="122"/>
      <c r="T157" s="122">
        <f>+(0.03*75)</f>
        <v>2.25</v>
      </c>
      <c r="U157" s="151"/>
      <c r="V157" s="151"/>
      <c r="W157" s="117"/>
      <c r="X157" s="117">
        <f t="shared" si="2"/>
        <v>2.25</v>
      </c>
      <c r="Y157" s="135" t="s">
        <v>673</v>
      </c>
    </row>
    <row r="158" spans="1:25" ht="51.75" customHeight="1">
      <c r="A158" s="469"/>
      <c r="B158" s="478" t="s">
        <v>251</v>
      </c>
      <c r="C158" s="469"/>
      <c r="D158" s="469"/>
      <c r="E158" s="99"/>
      <c r="F158" s="100">
        <f t="shared" ref="F158:W158" si="15">SUM(F135:F157)</f>
        <v>0</v>
      </c>
      <c r="G158" s="100">
        <f t="shared" si="15"/>
        <v>0</v>
      </c>
      <c r="H158" s="100">
        <f t="shared" si="15"/>
        <v>0</v>
      </c>
      <c r="I158" s="100">
        <f t="shared" si="15"/>
        <v>0</v>
      </c>
      <c r="J158" s="100">
        <f t="shared" si="15"/>
        <v>0</v>
      </c>
      <c r="K158" s="100">
        <f t="shared" si="15"/>
        <v>0</v>
      </c>
      <c r="L158" s="100">
        <f t="shared" si="15"/>
        <v>0</v>
      </c>
      <c r="M158" s="100">
        <f t="shared" si="15"/>
        <v>0</v>
      </c>
      <c r="N158" s="100">
        <f t="shared" si="15"/>
        <v>0</v>
      </c>
      <c r="O158" s="100">
        <f t="shared" si="15"/>
        <v>0</v>
      </c>
      <c r="P158" s="100">
        <f t="shared" si="15"/>
        <v>0</v>
      </c>
      <c r="Q158" s="100">
        <f t="shared" si="15"/>
        <v>0</v>
      </c>
      <c r="R158" s="100">
        <f t="shared" si="15"/>
        <v>0</v>
      </c>
      <c r="S158" s="100">
        <f t="shared" si="15"/>
        <v>0</v>
      </c>
      <c r="T158" s="100">
        <f t="shared" si="15"/>
        <v>912.93</v>
      </c>
      <c r="U158" s="100">
        <f t="shared" si="15"/>
        <v>0</v>
      </c>
      <c r="V158" s="100">
        <f t="shared" si="15"/>
        <v>0</v>
      </c>
      <c r="W158" s="102">
        <f t="shared" si="15"/>
        <v>0</v>
      </c>
      <c r="X158" s="100">
        <f t="shared" si="2"/>
        <v>912.93</v>
      </c>
      <c r="Y158" s="135"/>
    </row>
    <row r="159" spans="1:25" ht="78.75">
      <c r="A159" s="477" t="s">
        <v>252</v>
      </c>
      <c r="B159" s="476" t="s">
        <v>253</v>
      </c>
      <c r="C159" s="476" t="s">
        <v>211</v>
      </c>
      <c r="D159" s="106">
        <v>150</v>
      </c>
      <c r="E159" s="106" t="s">
        <v>239</v>
      </c>
      <c r="F159" s="120"/>
      <c r="G159" s="121"/>
      <c r="H159" s="121">
        <v>115</v>
      </c>
      <c r="I159" s="121"/>
      <c r="J159" s="125">
        <f t="shared" ref="J159:J215" si="16">H159+I159</f>
        <v>115</v>
      </c>
      <c r="K159" s="120"/>
      <c r="L159" s="120"/>
      <c r="M159" s="120"/>
      <c r="N159" s="120"/>
      <c r="O159" s="120"/>
      <c r="P159" s="116">
        <f t="shared" ref="P159:P215" si="17">N159+O159</f>
        <v>0</v>
      </c>
      <c r="Q159" s="120"/>
      <c r="R159" s="120"/>
      <c r="S159" s="121"/>
      <c r="T159" s="121">
        <v>1</v>
      </c>
      <c r="U159" s="120"/>
      <c r="V159" s="120"/>
      <c r="W159" s="117"/>
      <c r="X159" s="117">
        <f t="shared" si="2"/>
        <v>116</v>
      </c>
      <c r="Y159" s="257" t="s">
        <v>1021</v>
      </c>
    </row>
    <row r="160" spans="1:25" ht="40.5" customHeight="1">
      <c r="A160" s="469"/>
      <c r="B160" s="469"/>
      <c r="C160" s="469"/>
      <c r="D160" s="106">
        <v>151</v>
      </c>
      <c r="E160" s="106" t="s">
        <v>254</v>
      </c>
      <c r="F160" s="120"/>
      <c r="G160" s="121"/>
      <c r="H160" s="121"/>
      <c r="I160" s="121"/>
      <c r="J160" s="125">
        <f t="shared" si="16"/>
        <v>0</v>
      </c>
      <c r="K160" s="122"/>
      <c r="L160" s="122"/>
      <c r="M160" s="120"/>
      <c r="N160" s="120"/>
      <c r="O160" s="120"/>
      <c r="P160" s="116">
        <f t="shared" si="17"/>
        <v>0</v>
      </c>
      <c r="Q160" s="120"/>
      <c r="R160" s="120"/>
      <c r="S160" s="121"/>
      <c r="T160" s="121"/>
      <c r="U160" s="120"/>
      <c r="V160" s="120"/>
      <c r="W160" s="117"/>
      <c r="X160" s="117">
        <f t="shared" si="2"/>
        <v>0</v>
      </c>
      <c r="Y160" s="97"/>
    </row>
    <row r="161" spans="1:25" ht="85.5" customHeight="1">
      <c r="A161" s="469"/>
      <c r="B161" s="469"/>
      <c r="C161" s="469"/>
      <c r="D161" s="106">
        <v>152</v>
      </c>
      <c r="E161" s="106" t="s">
        <v>255</v>
      </c>
      <c r="F161" s="120"/>
      <c r="G161" s="120"/>
      <c r="H161" s="120"/>
      <c r="I161" s="120"/>
      <c r="J161" s="116">
        <f t="shared" si="16"/>
        <v>0</v>
      </c>
      <c r="K161" s="120"/>
      <c r="L161" s="120"/>
      <c r="M161" s="120"/>
      <c r="N161" s="120"/>
      <c r="O161" s="120"/>
      <c r="P161" s="116">
        <f t="shared" si="17"/>
        <v>0</v>
      </c>
      <c r="Q161" s="120"/>
      <c r="R161" s="120"/>
      <c r="S161" s="121"/>
      <c r="T161" s="98">
        <f>504 * 3600/100000</f>
        <v>18.143999999999998</v>
      </c>
      <c r="U161" s="120"/>
      <c r="V161" s="120"/>
      <c r="W161" s="117"/>
      <c r="X161" s="117">
        <f t="shared" si="2"/>
        <v>18.143999999999998</v>
      </c>
      <c r="Y161" s="135" t="s">
        <v>1022</v>
      </c>
    </row>
    <row r="162" spans="1:25" ht="15.75">
      <c r="A162" s="469"/>
      <c r="B162" s="469"/>
      <c r="C162" s="469"/>
      <c r="D162" s="106">
        <v>153</v>
      </c>
      <c r="E162" s="106" t="s">
        <v>256</v>
      </c>
      <c r="F162" s="151"/>
      <c r="G162" s="151"/>
      <c r="H162" s="151"/>
      <c r="I162" s="151"/>
      <c r="J162" s="116">
        <f t="shared" si="16"/>
        <v>0</v>
      </c>
      <c r="K162" s="151"/>
      <c r="L162" s="151"/>
      <c r="M162" s="151"/>
      <c r="N162" s="151"/>
      <c r="O162" s="151"/>
      <c r="P162" s="116">
        <f t="shared" si="17"/>
        <v>0</v>
      </c>
      <c r="Q162" s="151"/>
      <c r="R162" s="151"/>
      <c r="S162" s="151"/>
      <c r="T162" s="151"/>
      <c r="U162" s="151"/>
      <c r="V162" s="151"/>
      <c r="W162" s="117"/>
      <c r="X162" s="117">
        <f t="shared" si="2"/>
        <v>0</v>
      </c>
      <c r="Y162" s="97"/>
    </row>
    <row r="163" spans="1:25" ht="31.5">
      <c r="A163" s="469"/>
      <c r="B163" s="476" t="s">
        <v>257</v>
      </c>
      <c r="C163" s="476" t="s">
        <v>258</v>
      </c>
      <c r="D163" s="106">
        <v>154</v>
      </c>
      <c r="E163" s="106" t="s">
        <v>259</v>
      </c>
      <c r="F163" s="120"/>
      <c r="G163" s="120"/>
      <c r="H163" s="120"/>
      <c r="I163" s="120"/>
      <c r="J163" s="116">
        <f t="shared" si="16"/>
        <v>0</v>
      </c>
      <c r="K163" s="120"/>
      <c r="L163" s="120"/>
      <c r="M163" s="120"/>
      <c r="N163" s="120"/>
      <c r="O163" s="122"/>
      <c r="P163" s="117">
        <f t="shared" si="17"/>
        <v>0</v>
      </c>
      <c r="Q163" s="122"/>
      <c r="R163" s="122"/>
      <c r="S163" s="120"/>
      <c r="T163" s="120"/>
      <c r="U163" s="120"/>
      <c r="V163" s="120"/>
      <c r="W163" s="117"/>
      <c r="X163" s="117">
        <f t="shared" si="2"/>
        <v>0</v>
      </c>
      <c r="Y163" s="97"/>
    </row>
    <row r="164" spans="1:25" ht="47.25">
      <c r="A164" s="469"/>
      <c r="B164" s="469"/>
      <c r="C164" s="469"/>
      <c r="D164" s="106">
        <v>155</v>
      </c>
      <c r="E164" s="106" t="s">
        <v>260</v>
      </c>
      <c r="F164" s="120"/>
      <c r="G164" s="120"/>
      <c r="H164" s="120"/>
      <c r="I164" s="120"/>
      <c r="J164" s="116">
        <f t="shared" si="16"/>
        <v>0</v>
      </c>
      <c r="K164" s="120"/>
      <c r="L164" s="120"/>
      <c r="M164" s="120"/>
      <c r="N164" s="120"/>
      <c r="O164" s="120"/>
      <c r="P164" s="116">
        <f t="shared" si="17"/>
        <v>0</v>
      </c>
      <c r="Q164" s="120"/>
      <c r="R164" s="120"/>
      <c r="S164" s="121"/>
      <c r="T164" s="121"/>
      <c r="U164" s="120"/>
      <c r="V164" s="120"/>
      <c r="W164" s="117"/>
      <c r="X164" s="117">
        <f t="shared" si="2"/>
        <v>0</v>
      </c>
      <c r="Y164" s="97"/>
    </row>
    <row r="165" spans="1:25" ht="44.25" customHeight="1">
      <c r="A165" s="469"/>
      <c r="B165" s="469"/>
      <c r="C165" s="469"/>
      <c r="D165" s="106">
        <v>156</v>
      </c>
      <c r="E165" s="106" t="s">
        <v>261</v>
      </c>
      <c r="F165" s="120"/>
      <c r="G165" s="120"/>
      <c r="H165" s="120"/>
      <c r="I165" s="121"/>
      <c r="J165" s="125">
        <f t="shared" si="16"/>
        <v>0</v>
      </c>
      <c r="K165" s="122"/>
      <c r="L165" s="122"/>
      <c r="M165" s="120"/>
      <c r="N165" s="120"/>
      <c r="O165" s="120"/>
      <c r="P165" s="116">
        <f t="shared" si="17"/>
        <v>0</v>
      </c>
      <c r="Q165" s="120"/>
      <c r="R165" s="120"/>
      <c r="S165" s="121"/>
      <c r="T165" s="121">
        <v>1</v>
      </c>
      <c r="U165" s="115"/>
      <c r="V165" s="120"/>
      <c r="W165" s="117"/>
      <c r="X165" s="117">
        <f t="shared" si="2"/>
        <v>1</v>
      </c>
      <c r="Y165" s="97" t="s">
        <v>813</v>
      </c>
    </row>
    <row r="166" spans="1:25" ht="47.25">
      <c r="A166" s="469"/>
      <c r="B166" s="469"/>
      <c r="C166" s="469"/>
      <c r="D166" s="106">
        <v>157</v>
      </c>
      <c r="E166" s="106" t="s">
        <v>262</v>
      </c>
      <c r="F166" s="120"/>
      <c r="G166" s="120"/>
      <c r="H166" s="120"/>
      <c r="I166" s="120"/>
      <c r="J166" s="116">
        <f t="shared" si="16"/>
        <v>0</v>
      </c>
      <c r="K166" s="120"/>
      <c r="L166" s="120"/>
      <c r="M166" s="120"/>
      <c r="N166" s="120"/>
      <c r="O166" s="120"/>
      <c r="P166" s="116">
        <f t="shared" si="17"/>
        <v>0</v>
      </c>
      <c r="Q166" s="120"/>
      <c r="R166" s="120"/>
      <c r="S166" s="120"/>
      <c r="T166" s="120"/>
      <c r="U166" s="120"/>
      <c r="V166" s="120"/>
      <c r="W166" s="117"/>
      <c r="X166" s="117">
        <f t="shared" si="2"/>
        <v>0</v>
      </c>
      <c r="Y166" s="97"/>
    </row>
    <row r="167" spans="1:25" ht="63">
      <c r="A167" s="469"/>
      <c r="B167" s="469"/>
      <c r="C167" s="469"/>
      <c r="D167" s="106">
        <v>158</v>
      </c>
      <c r="E167" s="106" t="s">
        <v>263</v>
      </c>
      <c r="F167" s="120"/>
      <c r="G167" s="120"/>
      <c r="H167" s="120"/>
      <c r="I167" s="120"/>
      <c r="J167" s="116">
        <f t="shared" si="16"/>
        <v>0</v>
      </c>
      <c r="K167" s="120"/>
      <c r="L167" s="120"/>
      <c r="M167" s="120"/>
      <c r="N167" s="120"/>
      <c r="O167" s="120"/>
      <c r="P167" s="116">
        <f t="shared" si="17"/>
        <v>0</v>
      </c>
      <c r="Q167" s="120"/>
      <c r="R167" s="120"/>
      <c r="S167" s="120"/>
      <c r="T167" s="120"/>
      <c r="U167" s="120"/>
      <c r="V167" s="120"/>
      <c r="W167" s="117"/>
      <c r="X167" s="117">
        <f t="shared" si="2"/>
        <v>0</v>
      </c>
      <c r="Y167" s="97"/>
    </row>
    <row r="168" spans="1:25" ht="110.25">
      <c r="A168" s="469"/>
      <c r="B168" s="476" t="s">
        <v>264</v>
      </c>
      <c r="C168" s="476" t="s">
        <v>216</v>
      </c>
      <c r="D168" s="106">
        <v>159</v>
      </c>
      <c r="E168" s="106" t="s">
        <v>217</v>
      </c>
      <c r="F168" s="120"/>
      <c r="G168" s="120"/>
      <c r="H168" s="120"/>
      <c r="I168" s="120"/>
      <c r="J168" s="116">
        <f t="shared" si="16"/>
        <v>0</v>
      </c>
      <c r="K168" s="120"/>
      <c r="L168" s="120"/>
      <c r="M168" s="120"/>
      <c r="N168" s="120"/>
      <c r="O168" s="122"/>
      <c r="P168" s="117">
        <f t="shared" si="17"/>
        <v>0</v>
      </c>
      <c r="Q168" s="120"/>
      <c r="R168" s="120"/>
      <c r="S168" s="121"/>
      <c r="T168" s="139">
        <v>56.988</v>
      </c>
      <c r="U168" s="120"/>
      <c r="V168" s="120"/>
      <c r="W168" s="117"/>
      <c r="X168" s="117">
        <f t="shared" si="2"/>
        <v>56.988</v>
      </c>
      <c r="Y168" s="97" t="s">
        <v>1001</v>
      </c>
    </row>
    <row r="169" spans="1:25" ht="15.75">
      <c r="A169" s="469"/>
      <c r="B169" s="469"/>
      <c r="C169" s="469"/>
      <c r="D169" s="106">
        <v>160</v>
      </c>
      <c r="E169" s="106" t="s">
        <v>265</v>
      </c>
      <c r="F169" s="120"/>
      <c r="G169" s="120"/>
      <c r="H169" s="120"/>
      <c r="I169" s="120"/>
      <c r="J169" s="116">
        <f t="shared" si="16"/>
        <v>0</v>
      </c>
      <c r="K169" s="120"/>
      <c r="L169" s="120"/>
      <c r="M169" s="120"/>
      <c r="N169" s="120"/>
      <c r="O169" s="120"/>
      <c r="P169" s="116">
        <f t="shared" si="17"/>
        <v>0</v>
      </c>
      <c r="Q169" s="120"/>
      <c r="R169" s="120"/>
      <c r="S169" s="120"/>
      <c r="T169" s="120"/>
      <c r="U169" s="120"/>
      <c r="V169" s="120"/>
      <c r="W169" s="117"/>
      <c r="X169" s="117">
        <f t="shared" si="2"/>
        <v>0</v>
      </c>
      <c r="Y169" s="97"/>
    </row>
    <row r="170" spans="1:25" ht="15.75">
      <c r="A170" s="469"/>
      <c r="B170" s="469"/>
      <c r="C170" s="469"/>
      <c r="D170" s="106">
        <v>161</v>
      </c>
      <c r="E170" s="106" t="s">
        <v>219</v>
      </c>
      <c r="F170" s="120"/>
      <c r="G170" s="120"/>
      <c r="H170" s="120"/>
      <c r="I170" s="120"/>
      <c r="J170" s="116">
        <f t="shared" si="16"/>
        <v>0</v>
      </c>
      <c r="K170" s="120"/>
      <c r="L170" s="120"/>
      <c r="M170" s="120"/>
      <c r="N170" s="120"/>
      <c r="O170" s="120"/>
      <c r="P170" s="116">
        <f t="shared" si="17"/>
        <v>0</v>
      </c>
      <c r="Q170" s="120"/>
      <c r="R170" s="120"/>
      <c r="S170" s="120"/>
      <c r="T170" s="120"/>
      <c r="U170" s="120"/>
      <c r="V170" s="120"/>
      <c r="W170" s="117"/>
      <c r="X170" s="117">
        <f t="shared" si="2"/>
        <v>0</v>
      </c>
      <c r="Y170" s="97"/>
    </row>
    <row r="171" spans="1:25" ht="15.75">
      <c r="A171" s="469"/>
      <c r="B171" s="469"/>
      <c r="C171" s="469"/>
      <c r="D171" s="106">
        <v>162</v>
      </c>
      <c r="E171" s="106" t="s">
        <v>220</v>
      </c>
      <c r="F171" s="120"/>
      <c r="G171" s="120"/>
      <c r="H171" s="120"/>
      <c r="I171" s="120"/>
      <c r="J171" s="116">
        <f t="shared" si="16"/>
        <v>0</v>
      </c>
      <c r="K171" s="120"/>
      <c r="L171" s="120"/>
      <c r="M171" s="120"/>
      <c r="N171" s="120"/>
      <c r="O171" s="120"/>
      <c r="P171" s="116">
        <f t="shared" si="17"/>
        <v>0</v>
      </c>
      <c r="Q171" s="120"/>
      <c r="R171" s="120"/>
      <c r="S171" s="120"/>
      <c r="T171" s="120"/>
      <c r="U171" s="120"/>
      <c r="V171" s="120"/>
      <c r="W171" s="117"/>
      <c r="X171" s="117">
        <f t="shared" si="2"/>
        <v>0</v>
      </c>
      <c r="Y171" s="97"/>
    </row>
    <row r="172" spans="1:25" ht="63">
      <c r="A172" s="469"/>
      <c r="B172" s="469"/>
      <c r="C172" s="469"/>
      <c r="D172" s="106">
        <v>163</v>
      </c>
      <c r="E172" s="106" t="s">
        <v>266</v>
      </c>
      <c r="F172" s="120"/>
      <c r="G172" s="120"/>
      <c r="H172" s="120"/>
      <c r="I172" s="120"/>
      <c r="J172" s="116">
        <f t="shared" si="16"/>
        <v>0</v>
      </c>
      <c r="K172" s="120"/>
      <c r="L172" s="120"/>
      <c r="M172" s="120"/>
      <c r="N172" s="120"/>
      <c r="O172" s="120"/>
      <c r="P172" s="116">
        <f t="shared" si="17"/>
        <v>0</v>
      </c>
      <c r="Q172" s="120"/>
      <c r="R172" s="120"/>
      <c r="S172" s="121"/>
      <c r="T172" s="121"/>
      <c r="U172" s="120"/>
      <c r="V172" s="120"/>
      <c r="W172" s="117"/>
      <c r="X172" s="117">
        <f t="shared" si="2"/>
        <v>0</v>
      </c>
      <c r="Y172" s="135"/>
    </row>
    <row r="173" spans="1:25" ht="31.5">
      <c r="A173" s="469"/>
      <c r="B173" s="476" t="s">
        <v>267</v>
      </c>
      <c r="C173" s="476" t="s">
        <v>268</v>
      </c>
      <c r="D173" s="106">
        <v>164</v>
      </c>
      <c r="E173" s="106" t="s">
        <v>269</v>
      </c>
      <c r="F173" s="120"/>
      <c r="G173" s="121"/>
      <c r="H173" s="124"/>
      <c r="I173" s="124"/>
      <c r="J173" s="125">
        <f t="shared" si="16"/>
        <v>0</v>
      </c>
      <c r="K173" s="120"/>
      <c r="L173" s="120"/>
      <c r="M173" s="120"/>
      <c r="N173" s="120"/>
      <c r="O173" s="120"/>
      <c r="P173" s="116">
        <f t="shared" si="17"/>
        <v>0</v>
      </c>
      <c r="Q173" s="120"/>
      <c r="R173" s="120"/>
      <c r="S173" s="120"/>
      <c r="T173" s="120"/>
      <c r="U173" s="120"/>
      <c r="V173" s="120"/>
      <c r="W173" s="117"/>
      <c r="X173" s="117">
        <f t="shared" si="2"/>
        <v>0</v>
      </c>
      <c r="Y173" s="97"/>
    </row>
    <row r="174" spans="1:25" ht="31.5">
      <c r="A174" s="469"/>
      <c r="B174" s="469"/>
      <c r="C174" s="469"/>
      <c r="D174" s="106">
        <v>165</v>
      </c>
      <c r="E174" s="106" t="s">
        <v>270</v>
      </c>
      <c r="F174" s="120"/>
      <c r="G174" s="121"/>
      <c r="H174" s="378"/>
      <c r="I174" s="378"/>
      <c r="J174" s="125">
        <f t="shared" si="16"/>
        <v>0</v>
      </c>
      <c r="K174" s="120"/>
      <c r="L174" s="120"/>
      <c r="M174" s="120"/>
      <c r="N174" s="120"/>
      <c r="O174" s="120"/>
      <c r="P174" s="116">
        <f t="shared" si="17"/>
        <v>0</v>
      </c>
      <c r="Q174" s="120"/>
      <c r="R174" s="120"/>
      <c r="S174" s="120"/>
      <c r="T174" s="120"/>
      <c r="U174" s="120"/>
      <c r="V174" s="120"/>
      <c r="W174" s="117"/>
      <c r="X174" s="117">
        <f t="shared" si="2"/>
        <v>0</v>
      </c>
      <c r="Y174" s="97"/>
    </row>
    <row r="175" spans="1:25" ht="31.5">
      <c r="A175" s="469"/>
      <c r="B175" s="469"/>
      <c r="C175" s="469"/>
      <c r="D175" s="106">
        <v>166</v>
      </c>
      <c r="E175" s="106" t="s">
        <v>271</v>
      </c>
      <c r="F175" s="120"/>
      <c r="G175" s="121"/>
      <c r="H175" s="379"/>
      <c r="I175" s="379"/>
      <c r="J175" s="125">
        <f t="shared" si="16"/>
        <v>0</v>
      </c>
      <c r="K175" s="120"/>
      <c r="L175" s="120"/>
      <c r="M175" s="120"/>
      <c r="N175" s="120"/>
      <c r="O175" s="120"/>
      <c r="P175" s="116">
        <f t="shared" si="17"/>
        <v>0</v>
      </c>
      <c r="Q175" s="120"/>
      <c r="R175" s="120"/>
      <c r="S175" s="120"/>
      <c r="T175" s="120"/>
      <c r="U175" s="120"/>
      <c r="V175" s="120"/>
      <c r="W175" s="117"/>
      <c r="X175" s="117">
        <f t="shared" si="2"/>
        <v>0</v>
      </c>
      <c r="Y175" s="97"/>
    </row>
    <row r="176" spans="1:25" ht="31.5">
      <c r="A176" s="469"/>
      <c r="B176" s="469"/>
      <c r="C176" s="469"/>
      <c r="D176" s="106">
        <v>167</v>
      </c>
      <c r="E176" s="106" t="s">
        <v>272</v>
      </c>
      <c r="F176" s="120"/>
      <c r="G176" s="121"/>
      <c r="H176" s="378"/>
      <c r="I176" s="379"/>
      <c r="J176" s="125">
        <f t="shared" si="16"/>
        <v>0</v>
      </c>
      <c r="K176" s="120"/>
      <c r="L176" s="120"/>
      <c r="M176" s="120"/>
      <c r="N176" s="120"/>
      <c r="O176" s="120"/>
      <c r="P176" s="116">
        <f t="shared" si="17"/>
        <v>0</v>
      </c>
      <c r="Q176" s="120"/>
      <c r="R176" s="120"/>
      <c r="S176" s="120"/>
      <c r="T176" s="120"/>
      <c r="U176" s="120"/>
      <c r="V176" s="120"/>
      <c r="W176" s="117"/>
      <c r="X176" s="117">
        <f t="shared" si="2"/>
        <v>0</v>
      </c>
      <c r="Y176" s="97"/>
    </row>
    <row r="177" spans="1:25" ht="31.5">
      <c r="A177" s="469"/>
      <c r="B177" s="469"/>
      <c r="C177" s="469"/>
      <c r="D177" s="106">
        <v>168</v>
      </c>
      <c r="E177" s="106" t="s">
        <v>273</v>
      </c>
      <c r="F177" s="120"/>
      <c r="G177" s="121"/>
      <c r="H177" s="378"/>
      <c r="I177" s="379"/>
      <c r="J177" s="125">
        <f t="shared" si="16"/>
        <v>0</v>
      </c>
      <c r="K177" s="120"/>
      <c r="L177" s="120"/>
      <c r="M177" s="120"/>
      <c r="N177" s="120"/>
      <c r="O177" s="120"/>
      <c r="P177" s="116">
        <f t="shared" si="17"/>
        <v>0</v>
      </c>
      <c r="Q177" s="120"/>
      <c r="R177" s="120"/>
      <c r="S177" s="120"/>
      <c r="T177" s="120"/>
      <c r="U177" s="120"/>
      <c r="V177" s="120"/>
      <c r="W177" s="117"/>
      <c r="X177" s="117">
        <f t="shared" si="2"/>
        <v>0</v>
      </c>
      <c r="Y177" s="97"/>
    </row>
    <row r="178" spans="1:25" ht="78.75">
      <c r="A178" s="469"/>
      <c r="B178" s="469"/>
      <c r="C178" s="469"/>
      <c r="D178" s="106">
        <v>169</v>
      </c>
      <c r="E178" s="106" t="s">
        <v>274</v>
      </c>
      <c r="F178" s="120"/>
      <c r="G178" s="121"/>
      <c r="H178" s="378"/>
      <c r="I178" s="379"/>
      <c r="J178" s="125">
        <f t="shared" si="16"/>
        <v>0</v>
      </c>
      <c r="K178" s="122"/>
      <c r="L178" s="122"/>
      <c r="M178" s="120"/>
      <c r="N178" s="120"/>
      <c r="O178" s="120"/>
      <c r="P178" s="116">
        <f t="shared" si="17"/>
        <v>0</v>
      </c>
      <c r="Q178" s="120"/>
      <c r="R178" s="120"/>
      <c r="S178" s="120"/>
      <c r="T178" s="120"/>
      <c r="U178" s="120"/>
      <c r="V178" s="120"/>
      <c r="W178" s="117"/>
      <c r="X178" s="117">
        <f t="shared" si="2"/>
        <v>0</v>
      </c>
      <c r="Y178" s="97"/>
    </row>
    <row r="179" spans="1:25" ht="110.25">
      <c r="A179" s="469"/>
      <c r="B179" s="469"/>
      <c r="C179" s="469"/>
      <c r="D179" s="106">
        <v>170</v>
      </c>
      <c r="E179" s="106" t="s">
        <v>275</v>
      </c>
      <c r="F179" s="120"/>
      <c r="G179" s="120"/>
      <c r="H179" s="120"/>
      <c r="I179" s="120"/>
      <c r="J179" s="116">
        <f t="shared" si="16"/>
        <v>0</v>
      </c>
      <c r="K179" s="120"/>
      <c r="L179" s="120"/>
      <c r="M179" s="120"/>
      <c r="N179" s="120"/>
      <c r="O179" s="120"/>
      <c r="P179" s="116">
        <f t="shared" si="17"/>
        <v>0</v>
      </c>
      <c r="Q179" s="120"/>
      <c r="R179" s="120"/>
      <c r="S179" s="120"/>
      <c r="T179" s="120"/>
      <c r="U179" s="120"/>
      <c r="V179" s="120"/>
      <c r="W179" s="117"/>
      <c r="X179" s="117">
        <f t="shared" si="2"/>
        <v>0</v>
      </c>
      <c r="Y179" s="97"/>
    </row>
    <row r="180" spans="1:25" ht="47.25">
      <c r="A180" s="469"/>
      <c r="B180" s="476" t="s">
        <v>276</v>
      </c>
      <c r="C180" s="476" t="s">
        <v>277</v>
      </c>
      <c r="D180" s="106">
        <v>171</v>
      </c>
      <c r="E180" s="106" t="s">
        <v>278</v>
      </c>
      <c r="F180" s="120"/>
      <c r="G180" s="120"/>
      <c r="H180" s="120"/>
      <c r="I180" s="120"/>
      <c r="J180" s="116">
        <f t="shared" si="16"/>
        <v>0</v>
      </c>
      <c r="K180" s="120"/>
      <c r="L180" s="120"/>
      <c r="M180" s="120"/>
      <c r="N180" s="120"/>
      <c r="O180" s="120"/>
      <c r="P180" s="116">
        <f t="shared" si="17"/>
        <v>0</v>
      </c>
      <c r="Q180" s="120"/>
      <c r="R180" s="120"/>
      <c r="S180" s="120"/>
      <c r="T180" s="120"/>
      <c r="U180" s="120"/>
      <c r="V180" s="120"/>
      <c r="W180" s="117"/>
      <c r="X180" s="117">
        <f t="shared" si="2"/>
        <v>0</v>
      </c>
      <c r="Y180" s="97"/>
    </row>
    <row r="181" spans="1:25" ht="47.25">
      <c r="A181" s="469"/>
      <c r="B181" s="469"/>
      <c r="C181" s="469"/>
      <c r="D181" s="106">
        <v>172</v>
      </c>
      <c r="E181" s="106" t="s">
        <v>279</v>
      </c>
      <c r="F181" s="120"/>
      <c r="G181" s="120"/>
      <c r="H181" s="120"/>
      <c r="I181" s="120"/>
      <c r="J181" s="116">
        <f t="shared" si="16"/>
        <v>0</v>
      </c>
      <c r="K181" s="120"/>
      <c r="L181" s="120"/>
      <c r="M181" s="120"/>
      <c r="N181" s="120"/>
      <c r="O181" s="120"/>
      <c r="P181" s="116">
        <f t="shared" si="17"/>
        <v>0</v>
      </c>
      <c r="Q181" s="120"/>
      <c r="R181" s="120"/>
      <c r="S181" s="122"/>
      <c r="T181" s="122"/>
      <c r="U181" s="120"/>
      <c r="V181" s="120"/>
      <c r="W181" s="117"/>
      <c r="X181" s="117">
        <f t="shared" si="2"/>
        <v>0</v>
      </c>
      <c r="Y181" s="97"/>
    </row>
    <row r="182" spans="1:25" ht="47.25">
      <c r="A182" s="469"/>
      <c r="B182" s="469"/>
      <c r="C182" s="469"/>
      <c r="D182" s="106">
        <v>173</v>
      </c>
      <c r="E182" s="106" t="s">
        <v>280</v>
      </c>
      <c r="F182" s="120"/>
      <c r="G182" s="120"/>
      <c r="H182" s="120"/>
      <c r="I182" s="120"/>
      <c r="J182" s="116">
        <f t="shared" si="16"/>
        <v>0</v>
      </c>
      <c r="K182" s="120"/>
      <c r="L182" s="120"/>
      <c r="M182" s="120"/>
      <c r="N182" s="120"/>
      <c r="O182" s="120"/>
      <c r="P182" s="116">
        <f t="shared" si="17"/>
        <v>0</v>
      </c>
      <c r="Q182" s="120"/>
      <c r="R182" s="120"/>
      <c r="S182" s="120"/>
      <c r="T182" s="120"/>
      <c r="U182" s="120"/>
      <c r="V182" s="120"/>
      <c r="W182" s="117"/>
      <c r="X182" s="117">
        <f t="shared" si="2"/>
        <v>0</v>
      </c>
      <c r="Y182" s="97"/>
    </row>
    <row r="183" spans="1:25" ht="31.5">
      <c r="A183" s="469"/>
      <c r="B183" s="469"/>
      <c r="C183" s="469"/>
      <c r="D183" s="106">
        <v>174</v>
      </c>
      <c r="E183" s="106" t="s">
        <v>281</v>
      </c>
      <c r="F183" s="120"/>
      <c r="G183" s="120"/>
      <c r="H183" s="120"/>
      <c r="I183" s="120"/>
      <c r="J183" s="116">
        <f t="shared" si="16"/>
        <v>0</v>
      </c>
      <c r="K183" s="120"/>
      <c r="L183" s="120"/>
      <c r="M183" s="120"/>
      <c r="N183" s="120"/>
      <c r="O183" s="120"/>
      <c r="P183" s="116">
        <f t="shared" si="17"/>
        <v>0</v>
      </c>
      <c r="Q183" s="120"/>
      <c r="R183" s="120"/>
      <c r="S183" s="122"/>
      <c r="T183" s="122"/>
      <c r="U183" s="120"/>
      <c r="V183" s="120"/>
      <c r="W183" s="117"/>
      <c r="X183" s="117">
        <f t="shared" si="2"/>
        <v>0</v>
      </c>
      <c r="Y183" s="97"/>
    </row>
    <row r="184" spans="1:25" ht="236.25">
      <c r="A184" s="469"/>
      <c r="B184" s="476" t="s">
        <v>282</v>
      </c>
      <c r="C184" s="476" t="s">
        <v>230</v>
      </c>
      <c r="D184" s="106">
        <v>175</v>
      </c>
      <c r="E184" s="106" t="s">
        <v>231</v>
      </c>
      <c r="F184" s="106"/>
      <c r="G184" s="167"/>
      <c r="H184" s="167"/>
      <c r="I184" s="167"/>
      <c r="J184" s="116">
        <f t="shared" si="16"/>
        <v>0</v>
      </c>
      <c r="K184" s="168"/>
      <c r="L184" s="168"/>
      <c r="M184" s="167"/>
      <c r="N184" s="167"/>
      <c r="O184" s="167"/>
      <c r="P184" s="116">
        <f t="shared" si="17"/>
        <v>0</v>
      </c>
      <c r="Q184" s="167"/>
      <c r="R184" s="167"/>
      <c r="S184" s="168"/>
      <c r="T184" s="168">
        <v>67.12</v>
      </c>
      <c r="U184" s="168"/>
      <c r="V184" s="168"/>
      <c r="W184" s="117"/>
      <c r="X184" s="117">
        <f t="shared" si="2"/>
        <v>67.12</v>
      </c>
      <c r="Y184" s="135" t="s">
        <v>693</v>
      </c>
    </row>
    <row r="185" spans="1:25" ht="409.5">
      <c r="A185" s="469"/>
      <c r="B185" s="469"/>
      <c r="C185" s="469"/>
      <c r="D185" s="106">
        <v>176</v>
      </c>
      <c r="E185" s="106" t="s">
        <v>232</v>
      </c>
      <c r="F185" s="120"/>
      <c r="G185" s="120"/>
      <c r="H185" s="120"/>
      <c r="I185" s="120"/>
      <c r="J185" s="116">
        <f t="shared" si="16"/>
        <v>0</v>
      </c>
      <c r="K185" s="120"/>
      <c r="L185" s="120"/>
      <c r="M185" s="120"/>
      <c r="N185" s="120"/>
      <c r="O185" s="120"/>
      <c r="P185" s="116">
        <f t="shared" si="17"/>
        <v>0</v>
      </c>
      <c r="Q185" s="121"/>
      <c r="R185" s="121">
        <v>9</v>
      </c>
      <c r="S185" s="121"/>
      <c r="T185" s="121">
        <v>16.920000000000002</v>
      </c>
      <c r="U185" s="120"/>
      <c r="V185" s="120"/>
      <c r="W185" s="117"/>
      <c r="X185" s="117">
        <f t="shared" si="2"/>
        <v>25.92</v>
      </c>
      <c r="Y185" s="135" t="s">
        <v>694</v>
      </c>
    </row>
    <row r="186" spans="1:25" ht="29.25" customHeight="1">
      <c r="A186" s="469"/>
      <c r="B186" s="469"/>
      <c r="C186" s="469"/>
      <c r="D186" s="106">
        <v>177</v>
      </c>
      <c r="E186" s="106" t="s">
        <v>233</v>
      </c>
      <c r="F186" s="120"/>
      <c r="G186" s="139"/>
      <c r="H186" s="120"/>
      <c r="I186" s="120"/>
      <c r="J186" s="116">
        <f t="shared" si="16"/>
        <v>0</v>
      </c>
      <c r="K186" s="120"/>
      <c r="L186" s="120"/>
      <c r="M186" s="120"/>
      <c r="N186" s="120"/>
      <c r="O186" s="120"/>
      <c r="P186" s="116">
        <f t="shared" si="17"/>
        <v>0</v>
      </c>
      <c r="Q186" s="120"/>
      <c r="R186" s="120"/>
      <c r="S186" s="120"/>
      <c r="T186" s="120"/>
      <c r="U186" s="120"/>
      <c r="V186" s="120"/>
      <c r="W186" s="117"/>
      <c r="X186" s="117">
        <f t="shared" si="2"/>
        <v>0</v>
      </c>
      <c r="Y186" s="135"/>
    </row>
    <row r="187" spans="1:25" ht="63">
      <c r="A187" s="469"/>
      <c r="B187" s="476" t="s">
        <v>283</v>
      </c>
      <c r="C187" s="476" t="s">
        <v>284</v>
      </c>
      <c r="D187" s="106">
        <v>178</v>
      </c>
      <c r="E187" s="106" t="s">
        <v>285</v>
      </c>
      <c r="F187" s="120"/>
      <c r="G187" s="120"/>
      <c r="H187" s="120"/>
      <c r="I187" s="120"/>
      <c r="J187" s="116">
        <f t="shared" si="16"/>
        <v>0</v>
      </c>
      <c r="K187" s="120"/>
      <c r="L187" s="120"/>
      <c r="M187" s="120"/>
      <c r="N187" s="120"/>
      <c r="O187" s="120"/>
      <c r="P187" s="116">
        <f t="shared" si="17"/>
        <v>0</v>
      </c>
      <c r="Q187" s="120"/>
      <c r="R187" s="120"/>
      <c r="S187" s="120"/>
      <c r="T187" s="120"/>
      <c r="U187" s="120"/>
      <c r="V187" s="120"/>
      <c r="W187" s="117"/>
      <c r="X187" s="117">
        <f t="shared" si="2"/>
        <v>0</v>
      </c>
      <c r="Y187" s="97"/>
    </row>
    <row r="188" spans="1:25" ht="15.75">
      <c r="A188" s="469"/>
      <c r="B188" s="469"/>
      <c r="C188" s="469"/>
      <c r="D188" s="106">
        <v>179</v>
      </c>
      <c r="E188" s="106" t="s">
        <v>125</v>
      </c>
      <c r="F188" s="120"/>
      <c r="G188" s="120"/>
      <c r="H188" s="120"/>
      <c r="I188" s="120"/>
      <c r="J188" s="116">
        <f t="shared" si="16"/>
        <v>0</v>
      </c>
      <c r="K188" s="120"/>
      <c r="L188" s="120"/>
      <c r="M188" s="120"/>
      <c r="N188" s="120"/>
      <c r="O188" s="120"/>
      <c r="P188" s="116">
        <f t="shared" si="17"/>
        <v>0</v>
      </c>
      <c r="Q188" s="120"/>
      <c r="R188" s="120"/>
      <c r="S188" s="120"/>
      <c r="T188" s="120"/>
      <c r="U188" s="120"/>
      <c r="V188" s="120"/>
      <c r="W188" s="117"/>
      <c r="X188" s="117">
        <f t="shared" si="2"/>
        <v>0</v>
      </c>
      <c r="Y188" s="135"/>
    </row>
    <row r="189" spans="1:25" ht="47.25">
      <c r="A189" s="469"/>
      <c r="B189" s="469"/>
      <c r="C189" s="469"/>
      <c r="D189" s="106">
        <v>180</v>
      </c>
      <c r="E189" s="106" t="s">
        <v>286</v>
      </c>
      <c r="F189" s="120"/>
      <c r="G189" s="120"/>
      <c r="H189" s="120"/>
      <c r="I189" s="120"/>
      <c r="J189" s="116">
        <f t="shared" si="16"/>
        <v>0</v>
      </c>
      <c r="K189" s="120"/>
      <c r="L189" s="120"/>
      <c r="M189" s="120"/>
      <c r="N189" s="120"/>
      <c r="O189" s="122"/>
      <c r="P189" s="117">
        <f t="shared" si="17"/>
        <v>0</v>
      </c>
      <c r="Q189" s="120"/>
      <c r="R189" s="120"/>
      <c r="S189" s="121"/>
      <c r="T189" s="121"/>
      <c r="U189" s="120"/>
      <c r="V189" s="120"/>
      <c r="W189" s="117"/>
      <c r="X189" s="117">
        <f t="shared" si="2"/>
        <v>0</v>
      </c>
      <c r="Y189" s="135"/>
    </row>
    <row r="190" spans="1:25" ht="63">
      <c r="A190" s="469"/>
      <c r="B190" s="469"/>
      <c r="C190" s="469"/>
      <c r="D190" s="106">
        <v>181</v>
      </c>
      <c r="E190" s="106" t="s">
        <v>287</v>
      </c>
      <c r="F190" s="120"/>
      <c r="G190" s="120"/>
      <c r="H190" s="120"/>
      <c r="I190" s="120"/>
      <c r="J190" s="116">
        <f t="shared" si="16"/>
        <v>0</v>
      </c>
      <c r="K190" s="120"/>
      <c r="L190" s="120"/>
      <c r="M190" s="120"/>
      <c r="N190" s="120"/>
      <c r="O190" s="120"/>
      <c r="P190" s="116">
        <f t="shared" si="17"/>
        <v>0</v>
      </c>
      <c r="Q190" s="120"/>
      <c r="R190" s="120"/>
      <c r="S190" s="120"/>
      <c r="T190" s="120"/>
      <c r="U190" s="120"/>
      <c r="V190" s="120"/>
      <c r="W190" s="117"/>
      <c r="X190" s="117">
        <f t="shared" si="2"/>
        <v>0</v>
      </c>
      <c r="Y190" s="135"/>
    </row>
    <row r="191" spans="1:25" ht="94.5">
      <c r="A191" s="469"/>
      <c r="B191" s="469"/>
      <c r="C191" s="469"/>
      <c r="D191" s="106">
        <v>182</v>
      </c>
      <c r="E191" s="106" t="s">
        <v>288</v>
      </c>
      <c r="F191" s="120"/>
      <c r="G191" s="120"/>
      <c r="H191" s="120"/>
      <c r="I191" s="120"/>
      <c r="J191" s="116">
        <f t="shared" si="16"/>
        <v>0</v>
      </c>
      <c r="K191" s="120"/>
      <c r="L191" s="120"/>
      <c r="M191" s="120"/>
      <c r="N191" s="120"/>
      <c r="O191" s="120"/>
      <c r="P191" s="116">
        <f t="shared" si="17"/>
        <v>0</v>
      </c>
      <c r="Q191" s="120"/>
      <c r="R191" s="120"/>
      <c r="S191" s="122"/>
      <c r="T191" s="167">
        <f>(2*0.5*12)+(3*2.25*6)</f>
        <v>52.5</v>
      </c>
      <c r="U191" s="249"/>
      <c r="V191" s="380"/>
      <c r="W191" s="117"/>
      <c r="X191" s="117">
        <f t="shared" si="2"/>
        <v>52.5</v>
      </c>
      <c r="Y191" s="319" t="s">
        <v>712</v>
      </c>
    </row>
    <row r="192" spans="1:25" ht="78.75" hidden="1">
      <c r="A192" s="469"/>
      <c r="B192" s="469"/>
      <c r="C192" s="469"/>
      <c r="D192" s="106">
        <v>183</v>
      </c>
      <c r="E192" s="106" t="s">
        <v>289</v>
      </c>
      <c r="F192" s="120"/>
      <c r="G192" s="120"/>
      <c r="H192" s="120"/>
      <c r="I192" s="120"/>
      <c r="J192" s="116">
        <f t="shared" si="16"/>
        <v>0</v>
      </c>
      <c r="K192" s="120"/>
      <c r="L192" s="120"/>
      <c r="M192" s="120"/>
      <c r="N192" s="120"/>
      <c r="O192" s="120"/>
      <c r="P192" s="116">
        <f t="shared" si="17"/>
        <v>0</v>
      </c>
      <c r="Q192" s="120"/>
      <c r="R192" s="120"/>
      <c r="S192" s="121"/>
      <c r="T192" s="121"/>
      <c r="U192" s="120"/>
      <c r="V192" s="120"/>
      <c r="W192" s="117"/>
      <c r="X192" s="117">
        <f t="shared" si="2"/>
        <v>0</v>
      </c>
      <c r="Y192" s="135"/>
    </row>
    <row r="193" spans="1:25" ht="78.75">
      <c r="A193" s="469"/>
      <c r="B193" s="106" t="s">
        <v>290</v>
      </c>
      <c r="C193" s="106" t="s">
        <v>291</v>
      </c>
      <c r="D193" s="106">
        <v>184</v>
      </c>
      <c r="E193" s="106" t="s">
        <v>292</v>
      </c>
      <c r="F193" s="120"/>
      <c r="G193" s="120"/>
      <c r="H193" s="120"/>
      <c r="I193" s="120"/>
      <c r="J193" s="116">
        <f t="shared" si="16"/>
        <v>0</v>
      </c>
      <c r="K193" s="120"/>
      <c r="L193" s="120"/>
      <c r="M193" s="120"/>
      <c r="N193" s="120"/>
      <c r="O193" s="120"/>
      <c r="P193" s="116">
        <f t="shared" si="17"/>
        <v>0</v>
      </c>
      <c r="Q193" s="120"/>
      <c r="R193" s="120"/>
      <c r="S193" s="122"/>
      <c r="T193" s="122"/>
      <c r="U193" s="120"/>
      <c r="V193" s="120"/>
      <c r="W193" s="117"/>
      <c r="X193" s="117">
        <f t="shared" si="2"/>
        <v>0</v>
      </c>
      <c r="Y193" s="135"/>
    </row>
    <row r="194" spans="1:25" ht="53.25" customHeight="1">
      <c r="A194" s="469"/>
      <c r="B194" s="476" t="s">
        <v>293</v>
      </c>
      <c r="C194" s="476" t="s">
        <v>235</v>
      </c>
      <c r="D194" s="106">
        <v>185</v>
      </c>
      <c r="E194" s="106" t="s">
        <v>236</v>
      </c>
      <c r="F194" s="120"/>
      <c r="G194" s="120"/>
      <c r="H194" s="120"/>
      <c r="I194" s="120"/>
      <c r="J194" s="116">
        <f t="shared" si="16"/>
        <v>0</v>
      </c>
      <c r="K194" s="120"/>
      <c r="L194" s="120"/>
      <c r="M194" s="120"/>
      <c r="N194" s="120"/>
      <c r="O194" s="120"/>
      <c r="P194" s="116">
        <f t="shared" si="17"/>
        <v>0</v>
      </c>
      <c r="Q194" s="120"/>
      <c r="R194" s="120"/>
      <c r="S194" s="120"/>
      <c r="T194" s="140">
        <v>2767.6166599999997</v>
      </c>
      <c r="U194" s="120"/>
      <c r="V194" s="120"/>
      <c r="W194" s="117"/>
      <c r="X194" s="117">
        <f t="shared" si="2"/>
        <v>2767.6166599999997</v>
      </c>
      <c r="Y194" s="98" t="s">
        <v>992</v>
      </c>
    </row>
    <row r="195" spans="1:25" ht="346.5">
      <c r="A195" s="469"/>
      <c r="B195" s="469"/>
      <c r="C195" s="469"/>
      <c r="D195" s="106">
        <v>186</v>
      </c>
      <c r="E195" s="106" t="s">
        <v>237</v>
      </c>
      <c r="F195" s="120">
        <v>0.105</v>
      </c>
      <c r="G195" s="120"/>
      <c r="H195" s="120"/>
      <c r="I195" s="120"/>
      <c r="J195" s="116">
        <f t="shared" si="16"/>
        <v>0</v>
      </c>
      <c r="K195" s="120"/>
      <c r="L195" s="120"/>
      <c r="M195" s="120"/>
      <c r="N195" s="120"/>
      <c r="O195" s="120"/>
      <c r="P195" s="116">
        <f t="shared" si="17"/>
        <v>0</v>
      </c>
      <c r="Q195" s="120"/>
      <c r="R195" s="120"/>
      <c r="S195" s="121"/>
      <c r="T195" s="345">
        <f>5.6+21.284</f>
        <v>26.884</v>
      </c>
      <c r="U195" s="120"/>
      <c r="V195" s="120"/>
      <c r="W195" s="117"/>
      <c r="X195" s="117">
        <f t="shared" si="2"/>
        <v>26.989000000000001</v>
      </c>
      <c r="Y195" s="97" t="s">
        <v>972</v>
      </c>
    </row>
    <row r="196" spans="1:25" ht="31.5">
      <c r="A196" s="469"/>
      <c r="B196" s="469"/>
      <c r="C196" s="469"/>
      <c r="D196" s="106">
        <v>187</v>
      </c>
      <c r="E196" s="106" t="s">
        <v>294</v>
      </c>
      <c r="F196" s="120"/>
      <c r="G196" s="120"/>
      <c r="H196" s="120"/>
      <c r="I196" s="120"/>
      <c r="J196" s="116">
        <f t="shared" si="16"/>
        <v>0</v>
      </c>
      <c r="K196" s="120"/>
      <c r="L196" s="120"/>
      <c r="M196" s="120"/>
      <c r="N196" s="120"/>
      <c r="O196" s="120"/>
      <c r="P196" s="116">
        <f t="shared" si="17"/>
        <v>0</v>
      </c>
      <c r="Q196" s="120"/>
      <c r="R196" s="120"/>
      <c r="S196" s="120"/>
      <c r="T196" s="140">
        <v>1365.336</v>
      </c>
      <c r="U196" s="120"/>
      <c r="V196" s="120"/>
      <c r="W196" s="117"/>
      <c r="X196" s="117">
        <f t="shared" si="2"/>
        <v>1365.336</v>
      </c>
      <c r="Y196" s="98" t="s">
        <v>993</v>
      </c>
    </row>
    <row r="197" spans="1:25" ht="31.5">
      <c r="A197" s="469"/>
      <c r="B197" s="469"/>
      <c r="C197" s="469"/>
      <c r="D197" s="106">
        <v>188</v>
      </c>
      <c r="E197" s="106" t="s">
        <v>238</v>
      </c>
      <c r="F197" s="120"/>
      <c r="G197" s="120"/>
      <c r="H197" s="120"/>
      <c r="I197" s="120"/>
      <c r="J197" s="116">
        <f t="shared" si="16"/>
        <v>0</v>
      </c>
      <c r="K197" s="120"/>
      <c r="L197" s="120"/>
      <c r="M197" s="120"/>
      <c r="N197" s="120"/>
      <c r="O197" s="120"/>
      <c r="P197" s="116">
        <f t="shared" si="17"/>
        <v>0</v>
      </c>
      <c r="Q197" s="120"/>
      <c r="R197" s="120"/>
      <c r="S197" s="120"/>
      <c r="T197" s="120"/>
      <c r="U197" s="120"/>
      <c r="V197" s="120"/>
      <c r="W197" s="117"/>
      <c r="X197" s="117">
        <f t="shared" si="2"/>
        <v>0</v>
      </c>
      <c r="Y197" s="97"/>
    </row>
    <row r="198" spans="1:25" ht="63">
      <c r="A198" s="469"/>
      <c r="B198" s="469"/>
      <c r="C198" s="469"/>
      <c r="D198" s="106">
        <v>189</v>
      </c>
      <c r="E198" s="106" t="s">
        <v>295</v>
      </c>
      <c r="F198" s="120"/>
      <c r="G198" s="120"/>
      <c r="H198" s="120"/>
      <c r="I198" s="120"/>
      <c r="J198" s="116">
        <f t="shared" si="16"/>
        <v>0</v>
      </c>
      <c r="K198" s="120"/>
      <c r="L198" s="120"/>
      <c r="M198" s="120"/>
      <c r="N198" s="120"/>
      <c r="O198" s="120"/>
      <c r="P198" s="116">
        <f t="shared" si="17"/>
        <v>0</v>
      </c>
      <c r="Q198" s="120"/>
      <c r="R198" s="120"/>
      <c r="S198" s="120"/>
      <c r="T198" s="120"/>
      <c r="U198" s="120"/>
      <c r="V198" s="120"/>
      <c r="W198" s="117"/>
      <c r="X198" s="117">
        <f t="shared" si="2"/>
        <v>0</v>
      </c>
      <c r="Y198" s="97"/>
    </row>
    <row r="199" spans="1:25" ht="63" hidden="1">
      <c r="A199" s="469"/>
      <c r="B199" s="469"/>
      <c r="C199" s="469"/>
      <c r="D199" s="106">
        <v>190</v>
      </c>
      <c r="E199" s="106" t="s">
        <v>296</v>
      </c>
      <c r="F199" s="120"/>
      <c r="G199" s="120"/>
      <c r="H199" s="120"/>
      <c r="I199" s="120"/>
      <c r="J199" s="116">
        <f t="shared" si="16"/>
        <v>0</v>
      </c>
      <c r="K199" s="120"/>
      <c r="L199" s="120"/>
      <c r="M199" s="120"/>
      <c r="N199" s="120"/>
      <c r="O199" s="120"/>
      <c r="P199" s="116">
        <f t="shared" si="17"/>
        <v>0</v>
      </c>
      <c r="Q199" s="120"/>
      <c r="R199" s="120"/>
      <c r="S199" s="121"/>
      <c r="T199" s="121"/>
      <c r="U199" s="120"/>
      <c r="V199" s="120"/>
      <c r="W199" s="117"/>
      <c r="X199" s="117">
        <f t="shared" si="2"/>
        <v>0</v>
      </c>
      <c r="Y199" s="97"/>
    </row>
    <row r="200" spans="1:25" ht="55.5" customHeight="1">
      <c r="A200" s="469"/>
      <c r="B200" s="476" t="s">
        <v>297</v>
      </c>
      <c r="C200" s="476" t="s">
        <v>298</v>
      </c>
      <c r="D200" s="106">
        <v>191</v>
      </c>
      <c r="E200" s="106" t="s">
        <v>299</v>
      </c>
      <c r="F200" s="120"/>
      <c r="G200" s="120"/>
      <c r="H200" s="120"/>
      <c r="I200" s="120"/>
      <c r="J200" s="116">
        <f t="shared" si="16"/>
        <v>0</v>
      </c>
      <c r="K200" s="120"/>
      <c r="L200" s="120"/>
      <c r="M200" s="120"/>
      <c r="N200" s="120"/>
      <c r="O200" s="120"/>
      <c r="P200" s="116">
        <f t="shared" si="17"/>
        <v>0</v>
      </c>
      <c r="Q200" s="120"/>
      <c r="R200" s="120"/>
      <c r="S200" s="120"/>
      <c r="T200" s="120">
        <v>2</v>
      </c>
      <c r="U200" s="120"/>
      <c r="V200" s="120"/>
      <c r="W200" s="117"/>
      <c r="X200" s="117">
        <f t="shared" si="2"/>
        <v>2</v>
      </c>
      <c r="Y200" s="135" t="s">
        <v>1194</v>
      </c>
    </row>
    <row r="201" spans="1:25" ht="47.25">
      <c r="A201" s="469"/>
      <c r="B201" s="469"/>
      <c r="C201" s="469"/>
      <c r="D201" s="106">
        <v>192</v>
      </c>
      <c r="E201" s="106" t="s">
        <v>300</v>
      </c>
      <c r="F201" s="120"/>
      <c r="G201" s="120"/>
      <c r="H201" s="120"/>
      <c r="I201" s="121"/>
      <c r="J201" s="125">
        <f t="shared" si="16"/>
        <v>0</v>
      </c>
      <c r="K201" s="120"/>
      <c r="L201" s="120"/>
      <c r="M201" s="120"/>
      <c r="N201" s="120"/>
      <c r="O201" s="120"/>
      <c r="P201" s="116">
        <f t="shared" si="17"/>
        <v>0</v>
      </c>
      <c r="Q201" s="120"/>
      <c r="R201" s="120"/>
      <c r="S201" s="122"/>
      <c r="T201" s="122"/>
      <c r="U201" s="120"/>
      <c r="V201" s="120"/>
      <c r="W201" s="117"/>
      <c r="X201" s="117">
        <f t="shared" si="2"/>
        <v>0</v>
      </c>
      <c r="Y201" s="135"/>
    </row>
    <row r="202" spans="1:25" ht="63">
      <c r="A202" s="469"/>
      <c r="B202" s="476" t="s">
        <v>301</v>
      </c>
      <c r="C202" s="476" t="s">
        <v>241</v>
      </c>
      <c r="D202" s="106">
        <v>193</v>
      </c>
      <c r="E202" s="106" t="s">
        <v>302</v>
      </c>
      <c r="F202" s="120"/>
      <c r="G202" s="120"/>
      <c r="H202" s="120"/>
      <c r="I202" s="120"/>
      <c r="J202" s="116">
        <f t="shared" si="16"/>
        <v>0</v>
      </c>
      <c r="K202" s="120"/>
      <c r="L202" s="120"/>
      <c r="M202" s="120"/>
      <c r="N202" s="120"/>
      <c r="O202" s="120"/>
      <c r="P202" s="116">
        <f t="shared" si="17"/>
        <v>0</v>
      </c>
      <c r="Q202" s="120"/>
      <c r="R202" s="120"/>
      <c r="S202" s="122"/>
      <c r="T202" s="122"/>
      <c r="U202" s="121"/>
      <c r="V202" s="121"/>
      <c r="W202" s="117"/>
      <c r="X202" s="117">
        <f t="shared" si="2"/>
        <v>0</v>
      </c>
      <c r="Y202" s="97"/>
    </row>
    <row r="203" spans="1:25" ht="47.25">
      <c r="A203" s="469"/>
      <c r="B203" s="469"/>
      <c r="C203" s="469"/>
      <c r="D203" s="106">
        <v>194</v>
      </c>
      <c r="E203" s="106" t="s">
        <v>242</v>
      </c>
      <c r="F203" s="120"/>
      <c r="G203" s="120"/>
      <c r="H203" s="120"/>
      <c r="I203" s="120"/>
      <c r="J203" s="116">
        <f t="shared" si="16"/>
        <v>0</v>
      </c>
      <c r="K203" s="120"/>
      <c r="L203" s="120"/>
      <c r="M203" s="120"/>
      <c r="N203" s="120"/>
      <c r="O203" s="120"/>
      <c r="P203" s="116">
        <f t="shared" si="17"/>
        <v>0</v>
      </c>
      <c r="Q203" s="120"/>
      <c r="R203" s="120"/>
      <c r="S203" s="120"/>
      <c r="T203" s="120">
        <v>188.82</v>
      </c>
      <c r="U203" s="120"/>
      <c r="V203" s="120"/>
      <c r="W203" s="117"/>
      <c r="X203" s="117">
        <f t="shared" si="2"/>
        <v>188.82</v>
      </c>
      <c r="Y203" s="97" t="s">
        <v>387</v>
      </c>
    </row>
    <row r="204" spans="1:25" ht="63" hidden="1">
      <c r="A204" s="469"/>
      <c r="B204" s="476" t="s">
        <v>303</v>
      </c>
      <c r="C204" s="476" t="s">
        <v>304</v>
      </c>
      <c r="D204" s="106">
        <v>195</v>
      </c>
      <c r="E204" s="106" t="s">
        <v>305</v>
      </c>
      <c r="F204" s="120"/>
      <c r="G204" s="120"/>
      <c r="H204" s="120"/>
      <c r="I204" s="120"/>
      <c r="J204" s="116">
        <f t="shared" si="16"/>
        <v>0</v>
      </c>
      <c r="K204" s="120"/>
      <c r="L204" s="120"/>
      <c r="M204" s="120"/>
      <c r="N204" s="120"/>
      <c r="O204" s="120"/>
      <c r="P204" s="116">
        <f t="shared" si="17"/>
        <v>0</v>
      </c>
      <c r="Q204" s="120"/>
      <c r="R204" s="120"/>
      <c r="S204" s="122"/>
      <c r="T204" s="122"/>
      <c r="U204" s="120"/>
      <c r="V204" s="120"/>
      <c r="W204" s="117"/>
      <c r="X204" s="117">
        <f t="shared" si="2"/>
        <v>0</v>
      </c>
      <c r="Y204" s="97"/>
    </row>
    <row r="205" spans="1:25" ht="31.5" hidden="1">
      <c r="A205" s="469"/>
      <c r="B205" s="469"/>
      <c r="C205" s="469"/>
      <c r="D205" s="106">
        <v>196</v>
      </c>
      <c r="E205" s="106" t="s">
        <v>306</v>
      </c>
      <c r="F205" s="120"/>
      <c r="G205" s="120"/>
      <c r="H205" s="120"/>
      <c r="I205" s="120"/>
      <c r="J205" s="116">
        <f t="shared" si="16"/>
        <v>0</v>
      </c>
      <c r="K205" s="120"/>
      <c r="L205" s="120"/>
      <c r="M205" s="120"/>
      <c r="N205" s="120"/>
      <c r="O205" s="120"/>
      <c r="P205" s="116">
        <f t="shared" si="17"/>
        <v>0</v>
      </c>
      <c r="Q205" s="120"/>
      <c r="R205" s="120"/>
      <c r="S205" s="120"/>
      <c r="T205" s="120"/>
      <c r="U205" s="120"/>
      <c r="V205" s="120"/>
      <c r="W205" s="117"/>
      <c r="X205" s="117">
        <f t="shared" si="2"/>
        <v>0</v>
      </c>
      <c r="Y205" s="97"/>
    </row>
    <row r="206" spans="1:25" ht="31.5" hidden="1">
      <c r="A206" s="469"/>
      <c r="B206" s="469"/>
      <c r="C206" s="469"/>
      <c r="D206" s="106">
        <v>197</v>
      </c>
      <c r="E206" s="106" t="s">
        <v>307</v>
      </c>
      <c r="F206" s="135"/>
      <c r="G206" s="135"/>
      <c r="H206" s="135"/>
      <c r="I206" s="135"/>
      <c r="J206" s="116">
        <f t="shared" si="16"/>
        <v>0</v>
      </c>
      <c r="K206" s="135"/>
      <c r="L206" s="135"/>
      <c r="M206" s="135"/>
      <c r="N206" s="135"/>
      <c r="O206" s="135"/>
      <c r="P206" s="116">
        <f t="shared" si="17"/>
        <v>0</v>
      </c>
      <c r="Q206" s="135"/>
      <c r="R206" s="135"/>
      <c r="S206" s="170"/>
      <c r="T206" s="170"/>
      <c r="U206" s="129"/>
      <c r="V206" s="129"/>
      <c r="W206" s="171"/>
      <c r="X206" s="117">
        <f t="shared" si="2"/>
        <v>0</v>
      </c>
      <c r="Y206" s="97"/>
    </row>
    <row r="207" spans="1:25" ht="78.75" hidden="1">
      <c r="A207" s="469"/>
      <c r="B207" s="106" t="s">
        <v>308</v>
      </c>
      <c r="C207" s="106" t="s">
        <v>246</v>
      </c>
      <c r="D207" s="106">
        <v>198</v>
      </c>
      <c r="E207" s="106" t="s">
        <v>247</v>
      </c>
      <c r="F207" s="120"/>
      <c r="G207" s="120"/>
      <c r="H207" s="120"/>
      <c r="I207" s="120"/>
      <c r="J207" s="116">
        <f t="shared" si="16"/>
        <v>0</v>
      </c>
      <c r="K207" s="120"/>
      <c r="L207" s="120"/>
      <c r="M207" s="120"/>
      <c r="N207" s="120"/>
      <c r="O207" s="120"/>
      <c r="P207" s="116">
        <f t="shared" si="17"/>
        <v>0</v>
      </c>
      <c r="Q207" s="120"/>
      <c r="R207" s="120"/>
      <c r="S207" s="120"/>
      <c r="T207" s="120"/>
      <c r="U207" s="120"/>
      <c r="V207" s="120"/>
      <c r="W207" s="117"/>
      <c r="X207" s="117">
        <f t="shared" si="2"/>
        <v>0</v>
      </c>
      <c r="Y207" s="97"/>
    </row>
    <row r="208" spans="1:25" ht="36.75" customHeight="1">
      <c r="A208" s="469"/>
      <c r="B208" s="106" t="s">
        <v>309</v>
      </c>
      <c r="C208" s="106" t="s">
        <v>249</v>
      </c>
      <c r="D208" s="106">
        <v>199</v>
      </c>
      <c r="E208" s="106" t="s">
        <v>250</v>
      </c>
      <c r="F208" s="151"/>
      <c r="G208" s="151"/>
      <c r="H208" s="151"/>
      <c r="I208" s="151"/>
      <c r="J208" s="116">
        <f t="shared" si="16"/>
        <v>0</v>
      </c>
      <c r="K208" s="151"/>
      <c r="L208" s="151"/>
      <c r="M208" s="151"/>
      <c r="N208" s="151"/>
      <c r="O208" s="151"/>
      <c r="P208" s="116">
        <f t="shared" si="17"/>
        <v>0</v>
      </c>
      <c r="Q208" s="151"/>
      <c r="R208" s="151"/>
      <c r="S208" s="151"/>
      <c r="T208" s="151">
        <v>103.75</v>
      </c>
      <c r="U208" s="151"/>
      <c r="V208" s="151"/>
      <c r="W208" s="117"/>
      <c r="X208" s="117">
        <f t="shared" si="2"/>
        <v>103.75</v>
      </c>
      <c r="Y208" s="98" t="s">
        <v>986</v>
      </c>
    </row>
    <row r="209" spans="1:25" ht="47.25">
      <c r="A209" s="469"/>
      <c r="B209" s="106" t="s">
        <v>310</v>
      </c>
      <c r="C209" s="172" t="s">
        <v>311</v>
      </c>
      <c r="D209" s="106">
        <v>200</v>
      </c>
      <c r="E209" s="106" t="s">
        <v>312</v>
      </c>
      <c r="F209" s="173"/>
      <c r="G209" s="173"/>
      <c r="H209" s="173"/>
      <c r="I209" s="173"/>
      <c r="J209" s="116">
        <f t="shared" si="16"/>
        <v>0</v>
      </c>
      <c r="K209" s="173"/>
      <c r="L209" s="173"/>
      <c r="M209" s="173"/>
      <c r="N209" s="173"/>
      <c r="O209" s="173"/>
      <c r="P209" s="116">
        <f t="shared" si="17"/>
        <v>0</v>
      </c>
      <c r="Q209" s="173"/>
      <c r="R209" s="173"/>
      <c r="S209" s="173"/>
      <c r="T209" s="173"/>
      <c r="U209" s="173"/>
      <c r="V209" s="173"/>
      <c r="W209" s="117"/>
      <c r="X209" s="117">
        <f t="shared" si="2"/>
        <v>0</v>
      </c>
      <c r="Y209" s="135"/>
    </row>
    <row r="210" spans="1:25" ht="110.25">
      <c r="A210" s="469"/>
      <c r="B210" s="174" t="s">
        <v>313</v>
      </c>
      <c r="C210" s="174" t="s">
        <v>314</v>
      </c>
      <c r="D210" s="175">
        <v>201</v>
      </c>
      <c r="E210" s="176" t="s">
        <v>315</v>
      </c>
      <c r="F210" s="173"/>
      <c r="G210" s="173"/>
      <c r="H210" s="173"/>
      <c r="I210" s="173"/>
      <c r="J210" s="116">
        <f t="shared" si="16"/>
        <v>0</v>
      </c>
      <c r="K210" s="173"/>
      <c r="L210" s="173"/>
      <c r="M210" s="173"/>
      <c r="N210" s="173"/>
      <c r="O210" s="173"/>
      <c r="P210" s="116">
        <f t="shared" si="17"/>
        <v>0</v>
      </c>
      <c r="Q210" s="173"/>
      <c r="R210" s="173"/>
      <c r="S210" s="173"/>
      <c r="T210" s="173">
        <v>47.4392</v>
      </c>
      <c r="U210" s="173"/>
      <c r="V210" s="173"/>
      <c r="W210" s="117"/>
      <c r="X210" s="117">
        <f t="shared" si="2"/>
        <v>47.4392</v>
      </c>
      <c r="Y210" s="173" t="s">
        <v>1162</v>
      </c>
    </row>
    <row r="211" spans="1:25" ht="94.5">
      <c r="A211" s="469"/>
      <c r="B211" s="174" t="s">
        <v>316</v>
      </c>
      <c r="C211" s="174" t="s">
        <v>317</v>
      </c>
      <c r="D211" s="175">
        <v>202</v>
      </c>
      <c r="E211" s="176" t="s">
        <v>318</v>
      </c>
      <c r="F211" s="173"/>
      <c r="G211" s="173"/>
      <c r="H211" s="173"/>
      <c r="I211" s="173"/>
      <c r="J211" s="116">
        <f t="shared" si="16"/>
        <v>0</v>
      </c>
      <c r="K211" s="173"/>
      <c r="L211" s="173"/>
      <c r="M211" s="173"/>
      <c r="N211" s="173"/>
      <c r="O211" s="173"/>
      <c r="P211" s="116">
        <f t="shared" si="17"/>
        <v>0</v>
      </c>
      <c r="Q211" s="173"/>
      <c r="R211" s="173"/>
      <c r="S211" s="173"/>
      <c r="T211" s="173">
        <v>1226.3037999999999</v>
      </c>
      <c r="U211" s="173"/>
      <c r="V211" s="173"/>
      <c r="W211" s="117"/>
      <c r="X211" s="117">
        <f t="shared" si="2"/>
        <v>1226.3037999999999</v>
      </c>
      <c r="Y211" s="97" t="s">
        <v>559</v>
      </c>
    </row>
    <row r="212" spans="1:25" ht="83.25" customHeight="1">
      <c r="A212" s="469"/>
      <c r="B212" s="174" t="s">
        <v>319</v>
      </c>
      <c r="C212" s="174" t="s">
        <v>320</v>
      </c>
      <c r="D212" s="175">
        <v>203</v>
      </c>
      <c r="E212" s="176" t="s">
        <v>321</v>
      </c>
      <c r="F212" s="173"/>
      <c r="G212" s="173"/>
      <c r="H212" s="173"/>
      <c r="I212" s="173"/>
      <c r="J212" s="116">
        <f t="shared" si="16"/>
        <v>0</v>
      </c>
      <c r="K212" s="173"/>
      <c r="L212" s="173"/>
      <c r="M212" s="173"/>
      <c r="N212" s="173"/>
      <c r="O212" s="173"/>
      <c r="P212" s="116">
        <f t="shared" si="17"/>
        <v>0</v>
      </c>
      <c r="Q212" s="173"/>
      <c r="R212" s="173"/>
      <c r="S212" s="173"/>
      <c r="T212" s="173"/>
      <c r="U212" s="173"/>
      <c r="V212" s="173"/>
      <c r="W212" s="117"/>
      <c r="X212" s="117">
        <f t="shared" si="2"/>
        <v>0</v>
      </c>
      <c r="Y212" s="97"/>
    </row>
    <row r="213" spans="1:25" ht="78.75">
      <c r="A213" s="469"/>
      <c r="B213" s="174" t="s">
        <v>322</v>
      </c>
      <c r="C213" s="174" t="s">
        <v>323</v>
      </c>
      <c r="D213" s="175">
        <v>204</v>
      </c>
      <c r="E213" s="176" t="s">
        <v>324</v>
      </c>
      <c r="F213" s="173"/>
      <c r="G213" s="173"/>
      <c r="H213" s="173"/>
      <c r="I213" s="173"/>
      <c r="J213" s="116">
        <f t="shared" si="16"/>
        <v>0</v>
      </c>
      <c r="K213" s="173"/>
      <c r="L213" s="173"/>
      <c r="M213" s="173"/>
      <c r="N213" s="173"/>
      <c r="O213" s="173"/>
      <c r="P213" s="116">
        <f t="shared" si="17"/>
        <v>0</v>
      </c>
      <c r="Q213" s="173"/>
      <c r="R213" s="173"/>
      <c r="S213" s="173"/>
      <c r="T213" s="173">
        <v>25.647400000000001</v>
      </c>
      <c r="U213" s="173"/>
      <c r="V213" s="173"/>
      <c r="W213" s="117"/>
      <c r="X213" s="178">
        <f t="shared" si="2"/>
        <v>25.647400000000001</v>
      </c>
      <c r="Y213" s="97" t="s">
        <v>676</v>
      </c>
    </row>
    <row r="214" spans="1:25" ht="47.25">
      <c r="A214" s="469"/>
      <c r="B214" s="174" t="s">
        <v>326</v>
      </c>
      <c r="C214" s="174" t="s">
        <v>291</v>
      </c>
      <c r="D214" s="175">
        <v>205</v>
      </c>
      <c r="E214" s="176" t="s">
        <v>327</v>
      </c>
      <c r="F214" s="173"/>
      <c r="G214" s="173"/>
      <c r="H214" s="173"/>
      <c r="I214" s="173"/>
      <c r="J214" s="116">
        <f t="shared" si="16"/>
        <v>0</v>
      </c>
      <c r="K214" s="173"/>
      <c r="L214" s="173"/>
      <c r="M214" s="173"/>
      <c r="N214" s="173"/>
      <c r="O214" s="173"/>
      <c r="P214" s="116">
        <f t="shared" si="17"/>
        <v>0</v>
      </c>
      <c r="Q214" s="173"/>
      <c r="R214" s="173"/>
      <c r="S214" s="173"/>
      <c r="T214" s="173">
        <v>0</v>
      </c>
      <c r="U214" s="173"/>
      <c r="V214" s="173"/>
      <c r="W214" s="117"/>
      <c r="X214" s="117">
        <f t="shared" si="2"/>
        <v>0</v>
      </c>
      <c r="Y214" s="173"/>
    </row>
    <row r="215" spans="1:25" ht="52.5" customHeight="1">
      <c r="A215" s="469"/>
      <c r="B215" s="174" t="s">
        <v>329</v>
      </c>
      <c r="C215" s="174" t="s">
        <v>246</v>
      </c>
      <c r="D215" s="175">
        <v>206</v>
      </c>
      <c r="E215" s="176" t="s">
        <v>330</v>
      </c>
      <c r="F215" s="173"/>
      <c r="G215" s="173"/>
      <c r="H215" s="173"/>
      <c r="I215" s="173"/>
      <c r="J215" s="116">
        <f t="shared" si="16"/>
        <v>0</v>
      </c>
      <c r="K215" s="173"/>
      <c r="L215" s="173"/>
      <c r="M215" s="173"/>
      <c r="N215" s="173"/>
      <c r="O215" s="173"/>
      <c r="P215" s="116">
        <f t="shared" si="17"/>
        <v>0</v>
      </c>
      <c r="Q215" s="173"/>
      <c r="R215" s="173"/>
      <c r="S215" s="173"/>
      <c r="T215" s="173"/>
      <c r="U215" s="173"/>
      <c r="V215" s="173"/>
      <c r="W215" s="117"/>
      <c r="X215" s="117">
        <f t="shared" si="2"/>
        <v>0</v>
      </c>
      <c r="Y215" s="97"/>
    </row>
    <row r="216" spans="1:25" s="110" customFormat="1" ht="27.75" customHeight="1">
      <c r="A216" s="469"/>
      <c r="B216" s="478" t="s">
        <v>331</v>
      </c>
      <c r="C216" s="479"/>
      <c r="D216" s="479"/>
      <c r="E216" s="99"/>
      <c r="F216" s="100">
        <f t="shared" ref="F216:W216" si="18">SUM(F159:F215)</f>
        <v>0.105</v>
      </c>
      <c r="G216" s="101">
        <f t="shared" si="18"/>
        <v>0</v>
      </c>
      <c r="H216" s="101">
        <f t="shared" si="18"/>
        <v>115</v>
      </c>
      <c r="I216" s="101">
        <f t="shared" si="18"/>
        <v>0</v>
      </c>
      <c r="J216" s="101">
        <f t="shared" si="18"/>
        <v>115</v>
      </c>
      <c r="K216" s="100">
        <f t="shared" si="18"/>
        <v>0</v>
      </c>
      <c r="L216" s="100">
        <f t="shared" si="18"/>
        <v>0</v>
      </c>
      <c r="M216" s="100">
        <f t="shared" si="18"/>
        <v>0</v>
      </c>
      <c r="N216" s="100">
        <f t="shared" si="18"/>
        <v>0</v>
      </c>
      <c r="O216" s="100">
        <f t="shared" si="18"/>
        <v>0</v>
      </c>
      <c r="P216" s="100">
        <f t="shared" si="18"/>
        <v>0</v>
      </c>
      <c r="Q216" s="100">
        <f t="shared" si="18"/>
        <v>0</v>
      </c>
      <c r="R216" s="100">
        <f t="shared" si="18"/>
        <v>9</v>
      </c>
      <c r="S216" s="101">
        <f t="shared" si="18"/>
        <v>0</v>
      </c>
      <c r="T216" s="101">
        <f t="shared" si="18"/>
        <v>5967.4690599999985</v>
      </c>
      <c r="U216" s="100">
        <f t="shared" si="18"/>
        <v>0</v>
      </c>
      <c r="V216" s="100">
        <f t="shared" si="18"/>
        <v>0</v>
      </c>
      <c r="W216" s="102">
        <f t="shared" si="18"/>
        <v>0</v>
      </c>
      <c r="X216" s="100">
        <f t="shared" si="2"/>
        <v>6091.5740599999981</v>
      </c>
      <c r="Y216" s="253"/>
    </row>
    <row r="217" spans="1:25" ht="32.25" customHeight="1">
      <c r="A217" s="480" t="s">
        <v>332</v>
      </c>
      <c r="B217" s="469"/>
      <c r="C217" s="469"/>
      <c r="D217" s="469"/>
      <c r="E217" s="103"/>
      <c r="F217" s="104">
        <f t="shared" ref="F217:W217" si="19">F216+F158+F134+F93+F68</f>
        <v>127.05582000000001</v>
      </c>
      <c r="G217" s="105">
        <f t="shared" si="19"/>
        <v>0</v>
      </c>
      <c r="H217" s="105">
        <f t="shared" si="19"/>
        <v>115</v>
      </c>
      <c r="I217" s="105">
        <f t="shared" si="19"/>
        <v>10.65</v>
      </c>
      <c r="J217" s="105">
        <f t="shared" si="19"/>
        <v>125.65</v>
      </c>
      <c r="K217" s="104">
        <f t="shared" si="19"/>
        <v>0</v>
      </c>
      <c r="L217" s="104">
        <f t="shared" si="19"/>
        <v>23.22</v>
      </c>
      <c r="M217" s="104">
        <f t="shared" si="19"/>
        <v>0</v>
      </c>
      <c r="N217" s="104">
        <f t="shared" si="19"/>
        <v>0</v>
      </c>
      <c r="O217" s="104">
        <f t="shared" si="19"/>
        <v>73.858699999999999</v>
      </c>
      <c r="P217" s="104">
        <f t="shared" si="19"/>
        <v>73.858699999999999</v>
      </c>
      <c r="Q217" s="104">
        <f t="shared" si="19"/>
        <v>0</v>
      </c>
      <c r="R217" s="104">
        <f t="shared" si="19"/>
        <v>117.79319999999998</v>
      </c>
      <c r="S217" s="105">
        <f t="shared" si="19"/>
        <v>0</v>
      </c>
      <c r="T217" s="105">
        <f t="shared" si="19"/>
        <v>7433.3969599999991</v>
      </c>
      <c r="U217" s="104">
        <f t="shared" si="19"/>
        <v>0</v>
      </c>
      <c r="V217" s="104">
        <f t="shared" si="19"/>
        <v>10.85</v>
      </c>
      <c r="W217" s="104">
        <f t="shared" si="19"/>
        <v>0</v>
      </c>
      <c r="X217" s="104">
        <f t="shared" si="2"/>
        <v>7911.8246799999997</v>
      </c>
      <c r="Y217" s="372"/>
    </row>
    <row r="218" spans="1:25" ht="24.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9"/>
    </row>
    <row r="219" spans="1:25" ht="24.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9"/>
    </row>
    <row r="220" spans="1:25" ht="24.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9"/>
    </row>
    <row r="221" spans="1:25" ht="24.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9"/>
    </row>
    <row r="222" spans="1:25" ht="24.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9"/>
    </row>
    <row r="223" spans="1:25" ht="24.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9"/>
    </row>
    <row r="224" spans="1:25" ht="24.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9"/>
    </row>
    <row r="225" spans="1:25" ht="24.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9"/>
    </row>
    <row r="226" spans="1:25" ht="24.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9"/>
    </row>
    <row r="227" spans="1:25" ht="24.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9"/>
    </row>
    <row r="228" spans="1:25" ht="24.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9"/>
    </row>
    <row r="229" spans="1:25" ht="24.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9"/>
    </row>
    <row r="230" spans="1:25" ht="24.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9"/>
    </row>
    <row r="231" spans="1:25" ht="24.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9"/>
    </row>
    <row r="232" spans="1:25" ht="24.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9"/>
    </row>
    <row r="233" spans="1:25" ht="24.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9"/>
    </row>
    <row r="234" spans="1:25" ht="24.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9"/>
    </row>
    <row r="235" spans="1:25" ht="24.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9"/>
    </row>
    <row r="236" spans="1:25" ht="24.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9"/>
    </row>
    <row r="237" spans="1:25" ht="24.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9"/>
    </row>
    <row r="238" spans="1:25" ht="24.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9"/>
    </row>
    <row r="239" spans="1:25" ht="24.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9"/>
    </row>
    <row r="240" spans="1:25" ht="24.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9"/>
    </row>
    <row r="241" spans="1:25" ht="24.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9"/>
    </row>
    <row r="242" spans="1:25" ht="24.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9"/>
    </row>
    <row r="243" spans="1:25" ht="24.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9"/>
    </row>
    <row r="244" spans="1:25" ht="24.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9"/>
    </row>
    <row r="245" spans="1:25" ht="24.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9"/>
    </row>
    <row r="246" spans="1:25" ht="24.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9"/>
    </row>
    <row r="247" spans="1:25" ht="24.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9"/>
    </row>
    <row r="248" spans="1:25" ht="24.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9"/>
    </row>
    <row r="249" spans="1:25" ht="24.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9"/>
    </row>
    <row r="250" spans="1:25" ht="24.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9"/>
    </row>
    <row r="251" spans="1:25" ht="24.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9"/>
    </row>
    <row r="252" spans="1:25" ht="24.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9"/>
    </row>
    <row r="253" spans="1:25" ht="24.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9"/>
    </row>
    <row r="254" spans="1:25" ht="24.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9"/>
    </row>
    <row r="255" spans="1:25" ht="24.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9"/>
    </row>
    <row r="256" spans="1:25" ht="24.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9"/>
    </row>
    <row r="257" spans="1:25" ht="24.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9"/>
    </row>
    <row r="258" spans="1:25" ht="24.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9"/>
    </row>
    <row r="259" spans="1:25" ht="24.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9"/>
    </row>
    <row r="260" spans="1:25" ht="24.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9"/>
    </row>
    <row r="261" spans="1:25" ht="24.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9"/>
    </row>
    <row r="262" spans="1:25" ht="24.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9"/>
    </row>
    <row r="263" spans="1:25" ht="24.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9"/>
    </row>
    <row r="264" spans="1:25" ht="24.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9"/>
    </row>
    <row r="265" spans="1:25" ht="24.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9"/>
    </row>
    <row r="266" spans="1:25" ht="24.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9"/>
    </row>
    <row r="267" spans="1:25" ht="24.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9"/>
    </row>
    <row r="268" spans="1:25" ht="24.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9"/>
    </row>
    <row r="269" spans="1:25" ht="24.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9"/>
    </row>
    <row r="270" spans="1:25" ht="24.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9"/>
    </row>
    <row r="271" spans="1:25" ht="24.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9"/>
    </row>
    <row r="272" spans="1:25" ht="24.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9"/>
    </row>
    <row r="273" spans="1:25" ht="24.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9"/>
    </row>
    <row r="274" spans="1:25" ht="24.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9"/>
    </row>
    <row r="275" spans="1:25" ht="24.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9"/>
    </row>
    <row r="276" spans="1:25" ht="24.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9"/>
    </row>
    <row r="277" spans="1:25" ht="24.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9"/>
    </row>
    <row r="278" spans="1:25" ht="24.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9"/>
    </row>
    <row r="279" spans="1:25" ht="24.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9"/>
    </row>
    <row r="280" spans="1:25" ht="24.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9"/>
    </row>
    <row r="281" spans="1:25" ht="24.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9"/>
    </row>
    <row r="282" spans="1:25" ht="24.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9"/>
    </row>
    <row r="283" spans="1:25" ht="24.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9"/>
    </row>
    <row r="284" spans="1:25" ht="24.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9"/>
    </row>
    <row r="285" spans="1:25" ht="24.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9"/>
    </row>
    <row r="286" spans="1:25" ht="24.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9"/>
    </row>
    <row r="287" spans="1:25" ht="24.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9"/>
    </row>
    <row r="288" spans="1:25" ht="24.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9"/>
    </row>
    <row r="289" spans="1:25" ht="24.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9"/>
    </row>
    <row r="290" spans="1:25" ht="24.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9"/>
    </row>
    <row r="291" spans="1:25" ht="24.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9"/>
    </row>
    <row r="292" spans="1:25" ht="24.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9"/>
    </row>
    <row r="293" spans="1:25" ht="24.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9"/>
    </row>
    <row r="294" spans="1:25" ht="24.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9"/>
    </row>
    <row r="295" spans="1:25" ht="24.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9"/>
    </row>
    <row r="296" spans="1:25" ht="24.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9"/>
    </row>
    <row r="297" spans="1:25" ht="24.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9"/>
    </row>
    <row r="298" spans="1:25" ht="24.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9"/>
    </row>
    <row r="299" spans="1:25" ht="24.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9"/>
    </row>
    <row r="300" spans="1:25" ht="24.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9"/>
    </row>
    <row r="301" spans="1:25" ht="24.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9"/>
    </row>
    <row r="302" spans="1:25" ht="24.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9"/>
    </row>
    <row r="303" spans="1:25" ht="24.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9"/>
    </row>
    <row r="304" spans="1:25" ht="24.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row>
    <row r="305" spans="1:25" ht="24.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9"/>
    </row>
    <row r="306" spans="1:25" ht="24.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9"/>
    </row>
    <row r="307" spans="1:25" ht="24.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row>
    <row r="308" spans="1:25" ht="24.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9"/>
    </row>
    <row r="309" spans="1:25" ht="24.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9"/>
    </row>
    <row r="310" spans="1:25" ht="24.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9"/>
    </row>
    <row r="311" spans="1:25" ht="24.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9"/>
    </row>
    <row r="312" spans="1:25" ht="24.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9"/>
    </row>
    <row r="313" spans="1:25" ht="24.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9"/>
    </row>
    <row r="314" spans="1:25" ht="24.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9"/>
    </row>
    <row r="315" spans="1:25" ht="24.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9"/>
    </row>
    <row r="316" spans="1:25" ht="24.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9"/>
    </row>
    <row r="317" spans="1:25" ht="24.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9"/>
    </row>
    <row r="318" spans="1:25" ht="24.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9"/>
    </row>
    <row r="319" spans="1:25" ht="24.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9"/>
    </row>
    <row r="320" spans="1:25" ht="24.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9"/>
    </row>
    <row r="321" spans="1:25" ht="24.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9"/>
    </row>
    <row r="322" spans="1:25" ht="24.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9"/>
    </row>
    <row r="323" spans="1:25" ht="24.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9"/>
    </row>
    <row r="324" spans="1:25" ht="24.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9"/>
    </row>
    <row r="325" spans="1:25" ht="24.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9"/>
    </row>
    <row r="326" spans="1:25" ht="24.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9"/>
    </row>
    <row r="327" spans="1:25" ht="24.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9"/>
    </row>
    <row r="328" spans="1:25" ht="24.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9"/>
    </row>
    <row r="329" spans="1:25" ht="24.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9"/>
    </row>
    <row r="330" spans="1:25" ht="24.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9"/>
    </row>
    <row r="331" spans="1:25" ht="24.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9"/>
    </row>
    <row r="332" spans="1:25" ht="24.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9"/>
    </row>
    <row r="333" spans="1:25" ht="24.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9"/>
    </row>
    <row r="334" spans="1:25" ht="24.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9"/>
    </row>
    <row r="335" spans="1:25" ht="24.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9"/>
    </row>
    <row r="336" spans="1:25" ht="24.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9"/>
    </row>
    <row r="337" spans="1:25" ht="24.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9"/>
    </row>
    <row r="338" spans="1:25" ht="24.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9"/>
    </row>
    <row r="339" spans="1:25" ht="24.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9"/>
    </row>
    <row r="340" spans="1:25" ht="24.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9"/>
    </row>
    <row r="341" spans="1:25" ht="24.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9"/>
    </row>
    <row r="342" spans="1:25" ht="24.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9"/>
    </row>
    <row r="343" spans="1:25" ht="24.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9"/>
    </row>
    <row r="344" spans="1:25" ht="24.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9"/>
    </row>
    <row r="345" spans="1:25" ht="24.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9"/>
    </row>
    <row r="346" spans="1:25" ht="24.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9"/>
    </row>
    <row r="347" spans="1:25" ht="24.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9"/>
    </row>
    <row r="348" spans="1:25" ht="24.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9"/>
    </row>
    <row r="349" spans="1:25" ht="24.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9"/>
    </row>
    <row r="350" spans="1:25" ht="24.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9"/>
    </row>
    <row r="351" spans="1:25" ht="24.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9"/>
    </row>
    <row r="352" spans="1:25" ht="24.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9"/>
    </row>
    <row r="353" spans="1:25" ht="24.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9"/>
    </row>
    <row r="354" spans="1:25" ht="24.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9"/>
    </row>
    <row r="355" spans="1:25" ht="24.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9"/>
    </row>
    <row r="356" spans="1:25" ht="24.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9"/>
    </row>
    <row r="357" spans="1:25" ht="24.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9"/>
    </row>
    <row r="358" spans="1:25" ht="24.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9"/>
    </row>
    <row r="359" spans="1:25" ht="24.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9"/>
    </row>
    <row r="360" spans="1:25" ht="24.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9"/>
    </row>
    <row r="361" spans="1:25" ht="24.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9"/>
    </row>
    <row r="362" spans="1:25" ht="24.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9"/>
    </row>
    <row r="363" spans="1:25" ht="24.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9"/>
    </row>
    <row r="364" spans="1:25" ht="24.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9"/>
    </row>
    <row r="365" spans="1:25" ht="24.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9"/>
    </row>
    <row r="366" spans="1:25" ht="24.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9"/>
    </row>
    <row r="367" spans="1:25" ht="24.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9"/>
    </row>
    <row r="368" spans="1:25" ht="24.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9"/>
    </row>
    <row r="369" spans="1:25" ht="24.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9"/>
    </row>
    <row r="370" spans="1:25" ht="24.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9"/>
    </row>
    <row r="371" spans="1:25" ht="24.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9"/>
    </row>
    <row r="372" spans="1:25" ht="24.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9"/>
    </row>
    <row r="373" spans="1:25" ht="24.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9"/>
    </row>
    <row r="374" spans="1:25" ht="24.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9"/>
    </row>
    <row r="375" spans="1:25" ht="24.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9"/>
    </row>
    <row r="376" spans="1:25" ht="24.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9"/>
    </row>
    <row r="377" spans="1:25" ht="24.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9"/>
    </row>
    <row r="378" spans="1:25" ht="24.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9"/>
    </row>
    <row r="379" spans="1:25" ht="24.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9"/>
    </row>
    <row r="380" spans="1:25" ht="24.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9"/>
    </row>
    <row r="381" spans="1:25" ht="24.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9"/>
    </row>
    <row r="382" spans="1:25" ht="24.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9"/>
    </row>
    <row r="383" spans="1:25" ht="24.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9"/>
    </row>
    <row r="384" spans="1:25" ht="15.75" customHeight="1">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229"/>
    </row>
    <row r="385" spans="1:25" ht="15.75" customHeight="1">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229"/>
    </row>
    <row r="386" spans="1:25" ht="15.75" customHeight="1">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229"/>
    </row>
    <row r="387" spans="1:25" ht="15.75" customHeight="1">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229"/>
    </row>
    <row r="388" spans="1:25" ht="15.75" customHeight="1">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229"/>
    </row>
    <row r="389" spans="1:25" ht="15.75" customHeight="1">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229"/>
    </row>
    <row r="390" spans="1:25" ht="15.75" customHeight="1">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229"/>
    </row>
    <row r="391" spans="1:25" ht="15.75" customHeight="1">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229"/>
    </row>
    <row r="392" spans="1:25" ht="15.75" customHeight="1">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229"/>
    </row>
    <row r="393" spans="1:25" ht="15.75" customHeight="1">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229"/>
    </row>
    <row r="394" spans="1:25" ht="15.75" customHeigh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229"/>
    </row>
    <row r="395" spans="1:25" ht="15.75" customHeight="1">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229"/>
    </row>
    <row r="396" spans="1:25" ht="15.75" customHeight="1">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229"/>
    </row>
    <row r="397" spans="1:25" ht="15.75" customHeight="1">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229"/>
    </row>
    <row r="398" spans="1:25" ht="15.75" customHeight="1">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229"/>
    </row>
    <row r="399" spans="1:25" ht="15.75" customHeight="1">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229"/>
    </row>
    <row r="400" spans="1:25" ht="15.75" customHeight="1">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229"/>
    </row>
    <row r="401" spans="1:25" ht="15.75" customHeight="1">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229"/>
    </row>
    <row r="402" spans="1:25" ht="15.75" customHeight="1">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229"/>
    </row>
    <row r="403" spans="1:25" ht="15.75" customHeight="1">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229"/>
    </row>
    <row r="404" spans="1:25" ht="15.75" customHeight="1">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229"/>
    </row>
    <row r="405" spans="1:25" ht="15.75" customHeight="1">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229"/>
    </row>
    <row r="406" spans="1:25" ht="15.75" customHeight="1">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229"/>
    </row>
    <row r="407" spans="1:25" ht="15.75" customHeight="1">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229"/>
    </row>
    <row r="408" spans="1:25" ht="15.75" customHeight="1">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229"/>
    </row>
    <row r="409" spans="1:25" ht="15.75" customHeight="1">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229"/>
    </row>
    <row r="410" spans="1:25" ht="15.75" customHeight="1">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229"/>
    </row>
    <row r="411" spans="1:25" ht="15.75" customHeight="1">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229"/>
    </row>
    <row r="412" spans="1:25" ht="15.75" customHeight="1">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229"/>
    </row>
    <row r="413" spans="1:25" ht="15.75" customHeight="1">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229"/>
    </row>
    <row r="414" spans="1:25" ht="15.75" customHeight="1">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229"/>
    </row>
    <row r="415" spans="1:25" ht="15.75" customHeight="1">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229"/>
    </row>
    <row r="416" spans="1:25" ht="15.75" customHeight="1">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229"/>
    </row>
    <row r="417" spans="1:25" ht="15.75" customHeight="1">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229"/>
    </row>
    <row r="418" spans="1:25" ht="15.75" customHeight="1">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229"/>
    </row>
    <row r="419" spans="1:25" ht="15.75" customHeight="1">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229"/>
    </row>
    <row r="420" spans="1:25" ht="15.75" customHeight="1">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229"/>
    </row>
    <row r="421" spans="1:25" ht="15.75" customHeight="1">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229"/>
    </row>
    <row r="422" spans="1:25" ht="15.75" customHeight="1">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229"/>
    </row>
    <row r="423" spans="1:25" ht="15.75" customHeight="1">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229"/>
    </row>
    <row r="424" spans="1:25" ht="15.75" customHeight="1">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229"/>
    </row>
    <row r="425" spans="1:25" ht="15.75" customHeight="1">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229"/>
    </row>
    <row r="426" spans="1:25" ht="15.75" customHeight="1">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229"/>
    </row>
    <row r="427" spans="1:25" ht="15.75" customHeight="1">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229"/>
    </row>
    <row r="428" spans="1:25" ht="15.75" customHeight="1">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229"/>
    </row>
    <row r="429" spans="1:25" ht="15.75" customHeight="1">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229"/>
    </row>
    <row r="430" spans="1:25" ht="15.75" customHeight="1">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229"/>
    </row>
    <row r="431" spans="1:25" ht="15.75" customHeight="1">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229"/>
    </row>
    <row r="432" spans="1:25" ht="15.75" customHeight="1">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229"/>
    </row>
    <row r="433" spans="1:25" ht="15.75" customHeight="1">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229"/>
    </row>
    <row r="434" spans="1:25" ht="15.75" customHeight="1">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229"/>
    </row>
    <row r="435" spans="1:25" ht="15.75" customHeight="1">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229"/>
    </row>
    <row r="436" spans="1:25" ht="15.75" customHeight="1">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229"/>
    </row>
    <row r="437" spans="1:25" ht="15.75" customHeight="1">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229"/>
    </row>
    <row r="438" spans="1:25" ht="15.75" customHeight="1">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229"/>
    </row>
    <row r="439" spans="1:25" ht="15.75" customHeight="1">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229"/>
    </row>
    <row r="440" spans="1:25" ht="15.75" customHeight="1">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229"/>
    </row>
    <row r="441" spans="1:25" ht="15.75" customHeight="1">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229"/>
    </row>
    <row r="442" spans="1:25" ht="15.75" customHeight="1">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229"/>
    </row>
    <row r="443" spans="1:25" ht="15.75" customHeight="1">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229"/>
    </row>
    <row r="444" spans="1:25" ht="15.75" customHeight="1">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229"/>
    </row>
    <row r="445" spans="1:25" ht="15.75" customHeight="1">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229"/>
    </row>
    <row r="446" spans="1:25" ht="15.75" customHeight="1">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229"/>
    </row>
    <row r="447" spans="1:25" ht="15.75" customHeight="1">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229"/>
    </row>
    <row r="448" spans="1:25" ht="15.75" customHeight="1">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229"/>
    </row>
    <row r="449" spans="1:25" ht="15.75" customHeight="1">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229"/>
    </row>
    <row r="450" spans="1:25" ht="15.75" customHeight="1">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229"/>
    </row>
    <row r="451" spans="1:25" ht="15.75" customHeight="1">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229"/>
    </row>
    <row r="452" spans="1:25" ht="15.75" customHeight="1">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229"/>
    </row>
    <row r="453" spans="1:25" ht="15.75" customHeight="1">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229"/>
    </row>
    <row r="454" spans="1:25" ht="15.75" customHeight="1">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229"/>
    </row>
    <row r="455" spans="1:25" ht="15.75" customHeight="1">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229"/>
    </row>
    <row r="456" spans="1:25" ht="15.75" customHeight="1">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229"/>
    </row>
    <row r="457" spans="1:25" ht="15.75" customHeight="1">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229"/>
    </row>
    <row r="458" spans="1:25" ht="15.75" customHeight="1">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229"/>
    </row>
    <row r="459" spans="1:25" ht="15.75" customHeight="1">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229"/>
    </row>
    <row r="460" spans="1:25" ht="15.75" customHeight="1">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229"/>
    </row>
    <row r="461" spans="1:25" ht="15.75" customHeight="1">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229"/>
    </row>
    <row r="462" spans="1:25" ht="15.75" customHeight="1">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229"/>
    </row>
    <row r="463" spans="1:25" ht="15.75" customHeight="1">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229"/>
    </row>
    <row r="464" spans="1:25" ht="15.75" customHeight="1">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229"/>
    </row>
    <row r="465" spans="1:25" ht="15.75" customHeight="1">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229"/>
    </row>
    <row r="466" spans="1:25" ht="15.75" customHeight="1">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229"/>
    </row>
    <row r="467" spans="1:25" ht="15.75" customHeight="1">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229"/>
    </row>
    <row r="468" spans="1:25" ht="15.75" customHeight="1">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229"/>
    </row>
    <row r="469" spans="1:25" ht="15.75" customHeight="1">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229"/>
    </row>
    <row r="470" spans="1:25" ht="15.75" customHeight="1">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229"/>
    </row>
    <row r="471" spans="1:25" ht="15.75" customHeight="1">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229"/>
    </row>
    <row r="472" spans="1:25" ht="15.75" customHeight="1">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229"/>
    </row>
    <row r="473" spans="1:25" ht="15.75" customHeight="1">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229"/>
    </row>
    <row r="474" spans="1:25" ht="15.75" customHeight="1">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229"/>
    </row>
    <row r="475" spans="1:25" ht="15.75" customHeight="1">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229"/>
    </row>
    <row r="476" spans="1:25" ht="15.75" customHeight="1">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229"/>
    </row>
    <row r="477" spans="1:25" ht="15.75" customHeight="1">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229"/>
    </row>
    <row r="478" spans="1:25" ht="15.75" customHeigh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229"/>
    </row>
    <row r="479" spans="1:25" ht="15.75" customHeight="1">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229"/>
    </row>
    <row r="480" spans="1:25" ht="15.75" customHeight="1">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229"/>
    </row>
    <row r="481" spans="1:25" ht="15.75" customHeight="1">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229"/>
    </row>
    <row r="482" spans="1:25" ht="15.75" customHeight="1">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229"/>
    </row>
    <row r="483" spans="1:25" ht="15.75" customHeight="1">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229"/>
    </row>
    <row r="484" spans="1:25" ht="15.75" customHeight="1">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229"/>
    </row>
    <row r="485" spans="1:25" ht="15.75" customHeight="1">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229"/>
    </row>
    <row r="486" spans="1:25" ht="15.75" customHeight="1">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229"/>
    </row>
    <row r="487" spans="1:25" ht="15.75" customHeight="1">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229"/>
    </row>
    <row r="488" spans="1:25" ht="15.75" customHeight="1">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229"/>
    </row>
    <row r="489" spans="1:25" ht="15.75" customHeight="1">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229"/>
    </row>
    <row r="490" spans="1:25" ht="15.75" customHeight="1">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229"/>
    </row>
    <row r="491" spans="1:25" ht="15.75" customHeight="1">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229"/>
    </row>
    <row r="492" spans="1:25" ht="15.75" customHeight="1">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229"/>
    </row>
    <row r="493" spans="1:25" ht="15.75" customHeight="1">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229"/>
    </row>
    <row r="494" spans="1:25" ht="15.75" customHeight="1">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229"/>
    </row>
    <row r="495" spans="1:25" ht="15.75" customHeight="1">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229"/>
    </row>
    <row r="496" spans="1:25" ht="15.75" customHeight="1">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229"/>
    </row>
    <row r="497" spans="1:25" ht="15.75" customHeight="1">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229"/>
    </row>
    <row r="498" spans="1:25" ht="15.75" customHeight="1">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229"/>
    </row>
    <row r="499" spans="1:25" ht="15.75" customHeight="1">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229"/>
    </row>
    <row r="500" spans="1:25" ht="15.75" customHeight="1">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229"/>
    </row>
    <row r="501" spans="1:25" ht="15.75" customHeight="1">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229"/>
    </row>
    <row r="502" spans="1:25" ht="15.75" customHeight="1">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229"/>
    </row>
    <row r="503" spans="1:25" ht="15.75" customHeight="1">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229"/>
    </row>
    <row r="504" spans="1:25" ht="15.75" customHeight="1">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229"/>
    </row>
    <row r="505" spans="1:25" ht="15.75" customHeight="1">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229"/>
    </row>
    <row r="506" spans="1:25" ht="15.75" customHeight="1">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229"/>
    </row>
    <row r="507" spans="1:25" ht="15.75" customHeight="1">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229"/>
    </row>
    <row r="508" spans="1:25" ht="15.75" customHeight="1">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229"/>
    </row>
    <row r="509" spans="1:25" ht="15.75" customHeight="1">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229"/>
    </row>
    <row r="510" spans="1:25" ht="15.75" customHeight="1">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229"/>
    </row>
    <row r="511" spans="1:25" ht="15.75" customHeight="1">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229"/>
    </row>
    <row r="512" spans="1:25" ht="15.75" customHeight="1">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229"/>
    </row>
    <row r="513" spans="1:25" ht="15.75" customHeight="1">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229"/>
    </row>
    <row r="514" spans="1:25" ht="15.75" customHeight="1">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229"/>
    </row>
    <row r="515" spans="1:25" ht="15.75" customHeight="1">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229"/>
    </row>
    <row r="516" spans="1:25" ht="15.75" customHeight="1">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229"/>
    </row>
    <row r="517" spans="1:25" ht="15.75" customHeight="1">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229"/>
    </row>
    <row r="518" spans="1:25" ht="15.75" customHeight="1">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229"/>
    </row>
    <row r="519" spans="1:25" ht="15.75" customHeight="1">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229"/>
    </row>
    <row r="520" spans="1:25" ht="15.75" customHeight="1">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229"/>
    </row>
    <row r="521" spans="1:25" ht="15.75" customHeight="1">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229"/>
    </row>
    <row r="522" spans="1:25" ht="15.75" customHeight="1">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229"/>
    </row>
    <row r="523" spans="1:25" ht="15.75" customHeight="1">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229"/>
    </row>
    <row r="524" spans="1:25" ht="15.75" customHeight="1">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229"/>
    </row>
    <row r="525" spans="1:25" ht="15.75" customHeight="1">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229"/>
    </row>
    <row r="526" spans="1:25" ht="15.75" customHeight="1">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229"/>
    </row>
    <row r="527" spans="1:25" ht="15.75" customHeight="1">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229"/>
    </row>
    <row r="528" spans="1:25" ht="15.75" customHeigh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229"/>
    </row>
    <row r="529" spans="1:25" ht="15.75" customHeight="1">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229"/>
    </row>
    <row r="530" spans="1:25" ht="15.75" customHeight="1">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229"/>
    </row>
    <row r="531" spans="1:25" ht="15.75" customHeight="1">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229"/>
    </row>
    <row r="532" spans="1:25" ht="15.75" customHeight="1">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229"/>
    </row>
    <row r="533" spans="1:25" ht="15.75" customHeight="1">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229"/>
    </row>
    <row r="534" spans="1:25" ht="15.75" customHeight="1">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229"/>
    </row>
    <row r="535" spans="1:25" ht="15.75" customHeight="1">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229"/>
    </row>
    <row r="536" spans="1:25" ht="15.75" customHeight="1">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229"/>
    </row>
    <row r="537" spans="1:25" ht="15.75" customHeight="1">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229"/>
    </row>
    <row r="538" spans="1:25" ht="15.75" customHeight="1">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229"/>
    </row>
    <row r="539" spans="1:25" ht="15.75" customHeight="1">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229"/>
    </row>
    <row r="540" spans="1:25" ht="15.75" customHeight="1">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229"/>
    </row>
    <row r="541" spans="1:25" ht="15.75" customHeight="1">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229"/>
    </row>
    <row r="542" spans="1:25" ht="15.75" customHeight="1">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229"/>
    </row>
    <row r="543" spans="1:25" ht="15.75" customHeight="1">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229"/>
    </row>
    <row r="544" spans="1:25" ht="15.75" customHeight="1">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229"/>
    </row>
    <row r="545" spans="1:25" ht="15.75" customHeight="1">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229"/>
    </row>
    <row r="546" spans="1:25" ht="15.75" customHeight="1">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229"/>
    </row>
    <row r="547" spans="1:25" ht="15.75" customHeight="1">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229"/>
    </row>
    <row r="548" spans="1:25" ht="15.75" customHeight="1">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229"/>
    </row>
    <row r="549" spans="1:25" ht="15.75" customHeight="1">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229"/>
    </row>
    <row r="550" spans="1:25" ht="15.75" customHeight="1">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229"/>
    </row>
    <row r="551" spans="1:25" ht="15.75" customHeight="1">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229"/>
    </row>
    <row r="552" spans="1:25" ht="15.75" customHeight="1">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229"/>
    </row>
    <row r="553" spans="1:25" ht="15.75" customHeight="1">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229"/>
    </row>
    <row r="554" spans="1:25" ht="15.75" customHeight="1">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229"/>
    </row>
    <row r="555" spans="1:25" ht="15.75" customHeight="1">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229"/>
    </row>
    <row r="556" spans="1:25" ht="15.75" customHeight="1">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229"/>
    </row>
    <row r="557" spans="1:25" ht="15.75" customHeight="1">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229"/>
    </row>
    <row r="558" spans="1:25" ht="15.75" customHeight="1">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229"/>
    </row>
    <row r="559" spans="1:25" ht="15.75" customHeight="1">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229"/>
    </row>
    <row r="560" spans="1:25" ht="15.75" customHeight="1">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229"/>
    </row>
    <row r="561" spans="1:25" ht="15.75" customHeight="1">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229"/>
    </row>
    <row r="562" spans="1:25" ht="15.75" customHeight="1">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229"/>
    </row>
    <row r="563" spans="1:25" ht="15.75" customHeight="1">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229"/>
    </row>
    <row r="564" spans="1:25" ht="15.75" customHeight="1">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229"/>
    </row>
    <row r="565" spans="1:25" ht="15.75" customHeight="1">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229"/>
    </row>
    <row r="566" spans="1:25" ht="15.75" customHeight="1">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229"/>
    </row>
    <row r="567" spans="1:25" ht="15.75" customHeight="1">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229"/>
    </row>
    <row r="568" spans="1:25" ht="15.75" customHeight="1">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229"/>
    </row>
    <row r="569" spans="1:25" ht="15.75" customHeight="1">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229"/>
    </row>
    <row r="570" spans="1:25" ht="15.75" customHeight="1">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229"/>
    </row>
    <row r="571" spans="1:25" ht="15.75" customHeight="1">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229"/>
    </row>
    <row r="572" spans="1:25" ht="15.75" customHeight="1">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229"/>
    </row>
    <row r="573" spans="1:25" ht="15.75" customHeight="1">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229"/>
    </row>
    <row r="574" spans="1:25" ht="15.75" customHeight="1">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229"/>
    </row>
    <row r="575" spans="1:25" ht="15.75" customHeight="1">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229"/>
    </row>
    <row r="576" spans="1:25" ht="15.75" customHeight="1">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229"/>
    </row>
    <row r="577" spans="1:25" ht="15.75" customHeight="1">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229"/>
    </row>
    <row r="578" spans="1:25" ht="15.75" customHeight="1">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229"/>
    </row>
    <row r="579" spans="1:25" ht="15.75" customHeight="1">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229"/>
    </row>
    <row r="580" spans="1:25" ht="15.75" customHeight="1">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229"/>
    </row>
    <row r="581" spans="1:25" ht="15.75" customHeight="1">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229"/>
    </row>
    <row r="582" spans="1:25" ht="15.75" customHeight="1">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229"/>
    </row>
    <row r="583" spans="1:25" ht="15.75" customHeight="1">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229"/>
    </row>
    <row r="584" spans="1:25" ht="15.75" customHeight="1">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229"/>
    </row>
    <row r="585" spans="1:25" ht="15.75" customHeight="1">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229"/>
    </row>
    <row r="586" spans="1:25" ht="15.75" customHeight="1">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229"/>
    </row>
    <row r="587" spans="1:25" ht="15.75" customHeight="1">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229"/>
    </row>
    <row r="588" spans="1:25" ht="15.75" customHeight="1">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229"/>
    </row>
    <row r="589" spans="1:25" ht="15.75" customHeight="1">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229"/>
    </row>
    <row r="590" spans="1:25" ht="15.75" customHeight="1">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229"/>
    </row>
    <row r="591" spans="1:25" ht="15.75" customHeight="1">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229"/>
    </row>
    <row r="592" spans="1:25" ht="15.75" customHeight="1">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229"/>
    </row>
    <row r="593" spans="1:25" ht="15.75" customHeight="1">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229"/>
    </row>
    <row r="594" spans="1:25" ht="15.75" customHeight="1">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229"/>
    </row>
    <row r="595" spans="1:25" ht="15.75" customHeight="1">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229"/>
    </row>
    <row r="596" spans="1:25" ht="15.75" customHeight="1">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229"/>
    </row>
    <row r="597" spans="1:25" ht="15.75" customHeight="1">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229"/>
    </row>
    <row r="598" spans="1:25" ht="15.75" customHeight="1">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229"/>
    </row>
    <row r="599" spans="1:25" ht="15.75" customHeight="1">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229"/>
    </row>
    <row r="600" spans="1:25" ht="15.75" customHeight="1">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229"/>
    </row>
    <row r="601" spans="1:25" ht="15.75" customHeight="1">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229"/>
    </row>
    <row r="602" spans="1:25" ht="15.75" customHeight="1">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229"/>
    </row>
    <row r="603" spans="1:25" ht="15.75" customHeight="1">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229"/>
    </row>
    <row r="604" spans="1:25" ht="15.75" customHeight="1">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229"/>
    </row>
    <row r="605" spans="1:25" ht="15.75" customHeight="1">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229"/>
    </row>
    <row r="606" spans="1:25" ht="15.75" customHeight="1">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229"/>
    </row>
    <row r="607" spans="1:25" ht="15.75" customHeight="1">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229"/>
    </row>
    <row r="608" spans="1:25" ht="15.75" customHeight="1">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229"/>
    </row>
    <row r="609" spans="1:25" ht="15.75" customHeight="1">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229"/>
    </row>
    <row r="610" spans="1:25" ht="15.75" customHeight="1">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229"/>
    </row>
    <row r="611" spans="1:25" ht="15.75" customHeight="1">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229"/>
    </row>
    <row r="612" spans="1:25" ht="15.75" customHeight="1">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229"/>
    </row>
    <row r="613" spans="1:25" ht="15.75" customHeight="1">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229"/>
    </row>
    <row r="614" spans="1:25" ht="15.75" customHeight="1">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229"/>
    </row>
    <row r="615" spans="1:25" ht="15.75" customHeight="1">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229"/>
    </row>
    <row r="616" spans="1:25" ht="15.75" customHeight="1">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229"/>
    </row>
    <row r="617" spans="1:25" ht="15.75" customHeight="1">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229"/>
    </row>
    <row r="618" spans="1:25" ht="15.75" customHeight="1">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229"/>
    </row>
    <row r="619" spans="1:25" ht="15.75" customHeight="1">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229"/>
    </row>
    <row r="620" spans="1:25" ht="15.75" customHeight="1">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229"/>
    </row>
    <row r="621" spans="1:25" ht="15.75" customHeight="1">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229"/>
    </row>
    <row r="622" spans="1:25" ht="15.75" customHeight="1">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229"/>
    </row>
    <row r="623" spans="1:25" ht="15.75" customHeight="1">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229"/>
    </row>
    <row r="624" spans="1:25" ht="15.75" customHeight="1">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229"/>
    </row>
    <row r="625" spans="1:25" ht="15.75" customHeight="1">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229"/>
    </row>
    <row r="626" spans="1:25" ht="15.75" customHeight="1">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229"/>
    </row>
    <row r="627" spans="1:25" ht="15.75" customHeight="1">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229"/>
    </row>
    <row r="628" spans="1:25" ht="15.75" customHeight="1">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229"/>
    </row>
    <row r="629" spans="1:25" ht="15.75" customHeight="1">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229"/>
    </row>
    <row r="630" spans="1:25" ht="15.75" customHeight="1">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229"/>
    </row>
    <row r="631" spans="1:25" ht="15.75" customHeight="1">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229"/>
    </row>
    <row r="632" spans="1:25" ht="15.75" customHeight="1">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229"/>
    </row>
    <row r="633" spans="1:25" ht="15.75" customHeight="1">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229"/>
    </row>
    <row r="634" spans="1:25" ht="15.75" customHeight="1">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229"/>
    </row>
    <row r="635" spans="1:25" ht="15.75" customHeight="1">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229"/>
    </row>
    <row r="636" spans="1:25" ht="15.75" customHeight="1">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229"/>
    </row>
    <row r="637" spans="1:25" ht="15.75" customHeight="1">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229"/>
    </row>
    <row r="638" spans="1:25" ht="15.75" customHeight="1">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229"/>
    </row>
    <row r="639" spans="1:25" ht="15.75" customHeight="1">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229"/>
    </row>
    <row r="640" spans="1:25" ht="15.75" customHeight="1">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229"/>
    </row>
    <row r="641" spans="1:25" ht="15.75" customHeight="1">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229"/>
    </row>
    <row r="642" spans="1:25" ht="15.75" customHeight="1">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229"/>
    </row>
    <row r="643" spans="1:25" ht="15.75" customHeight="1">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229"/>
    </row>
    <row r="644" spans="1:25" ht="15.75" customHeight="1">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229"/>
    </row>
    <row r="645" spans="1:25" ht="15.75" customHeight="1">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229"/>
    </row>
    <row r="646" spans="1:25" ht="15.75" customHeight="1">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229"/>
    </row>
    <row r="647" spans="1:25" ht="15.75" customHeight="1">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229"/>
    </row>
    <row r="648" spans="1:25" ht="15.75" customHeight="1">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229"/>
    </row>
    <row r="649" spans="1:25" ht="15.75" customHeight="1">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229"/>
    </row>
    <row r="650" spans="1:25" ht="15.75" customHeight="1">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229"/>
    </row>
    <row r="651" spans="1:25" ht="15.75" customHeight="1">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229"/>
    </row>
    <row r="652" spans="1:25" ht="15.75" customHeight="1">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229"/>
    </row>
    <row r="653" spans="1:25" ht="15.75" customHeight="1">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229"/>
    </row>
    <row r="654" spans="1:25" ht="15.75" customHeight="1">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229"/>
    </row>
    <row r="655" spans="1:25" ht="15.75" customHeight="1">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229"/>
    </row>
    <row r="656" spans="1:25" ht="15.75" customHeight="1">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229"/>
    </row>
    <row r="657" spans="1:25" ht="15.75" customHeight="1">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229"/>
    </row>
    <row r="658" spans="1:25" ht="15.75" customHeight="1">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229"/>
    </row>
    <row r="659" spans="1:25" ht="15.75" customHeight="1">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229"/>
    </row>
    <row r="660" spans="1:25" ht="15.75" customHeight="1">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229"/>
    </row>
    <row r="661" spans="1:25" ht="15.75" customHeight="1">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229"/>
    </row>
    <row r="662" spans="1:25" ht="15.75" customHeight="1">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229"/>
    </row>
    <row r="663" spans="1:25" ht="15.75" customHeight="1">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229"/>
    </row>
    <row r="664" spans="1:25" ht="15.75" customHeight="1">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229"/>
    </row>
    <row r="665" spans="1:25" ht="15.75" customHeight="1">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229"/>
    </row>
    <row r="666" spans="1:25" ht="15.75" customHeight="1">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229"/>
    </row>
    <row r="667" spans="1:25" ht="15.75" customHeight="1">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229"/>
    </row>
    <row r="668" spans="1:25" ht="15.75" customHeight="1">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229"/>
    </row>
    <row r="669" spans="1:25" ht="15.75" customHeight="1">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229"/>
    </row>
    <row r="670" spans="1:25" ht="15.75" customHeight="1">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229"/>
    </row>
    <row r="671" spans="1:25" ht="15.75" customHeight="1">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229"/>
    </row>
    <row r="672" spans="1:25" ht="15.75" customHeight="1">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229"/>
    </row>
    <row r="673" spans="1:25" ht="15.75" customHeight="1">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229"/>
    </row>
    <row r="674" spans="1:25" ht="15.75" customHeight="1">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229"/>
    </row>
    <row r="675" spans="1:25" ht="15.75" customHeight="1">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229"/>
    </row>
    <row r="676" spans="1:25" ht="15.75" customHeight="1">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229"/>
    </row>
    <row r="677" spans="1:25" ht="15.75" customHeight="1">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229"/>
    </row>
    <row r="678" spans="1:25" ht="15.75" customHeight="1">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229"/>
    </row>
    <row r="679" spans="1:25" ht="15.75" customHeight="1">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229"/>
    </row>
    <row r="680" spans="1:25" ht="15.75" customHeight="1">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229"/>
    </row>
    <row r="681" spans="1:25" ht="15.75" customHeight="1">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229"/>
    </row>
    <row r="682" spans="1:25" ht="15.75" customHeight="1">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229"/>
    </row>
    <row r="683" spans="1:25" ht="15.75" customHeight="1">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229"/>
    </row>
    <row r="684" spans="1:25" ht="15.75" customHeight="1">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229"/>
    </row>
    <row r="685" spans="1:25" ht="15.75" customHeight="1">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229"/>
    </row>
    <row r="686" spans="1:25" ht="15.75" customHeight="1">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229"/>
    </row>
    <row r="687" spans="1:25" ht="15.75" customHeight="1">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229"/>
    </row>
    <row r="688" spans="1:25" ht="15.75" customHeight="1">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229"/>
    </row>
    <row r="689" spans="1:25" ht="15.75" customHeight="1">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229"/>
    </row>
    <row r="690" spans="1:25" ht="15.75" customHeight="1">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229"/>
    </row>
    <row r="691" spans="1:25" ht="15.75" customHeight="1">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229"/>
    </row>
    <row r="692" spans="1:25" ht="15.75" customHeight="1">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229"/>
    </row>
    <row r="693" spans="1:25" ht="15.75" customHeight="1">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229"/>
    </row>
    <row r="694" spans="1:25" ht="15.75" customHeight="1">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229"/>
    </row>
    <row r="695" spans="1:25" ht="15.75" customHeight="1">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229"/>
    </row>
    <row r="696" spans="1:25" ht="15.75" customHeight="1">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229"/>
    </row>
    <row r="697" spans="1:25" ht="15.75" customHeight="1">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229"/>
    </row>
    <row r="698" spans="1:25" ht="15.75" customHeight="1">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229"/>
    </row>
    <row r="699" spans="1:25" ht="15.75" customHeight="1">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229"/>
    </row>
    <row r="700" spans="1:25" ht="15.75" customHeight="1">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229"/>
    </row>
    <row r="701" spans="1:25" ht="15.75" customHeight="1">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229"/>
    </row>
    <row r="702" spans="1:25" ht="15.75" customHeight="1">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229"/>
    </row>
    <row r="703" spans="1:25" ht="15.75" customHeight="1">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229"/>
    </row>
    <row r="704" spans="1:25" ht="15.75" customHeight="1">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229"/>
    </row>
    <row r="705" spans="1:25" ht="15.75" customHeight="1">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229"/>
    </row>
    <row r="706" spans="1:25" ht="15.75" customHeight="1">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229"/>
    </row>
    <row r="707" spans="1:25" ht="15.75" customHeight="1">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229"/>
    </row>
    <row r="708" spans="1:25" ht="15.75" customHeight="1">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229"/>
    </row>
    <row r="709" spans="1:25" ht="15.75" customHeight="1">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229"/>
    </row>
    <row r="710" spans="1:25" ht="15.75" customHeigh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229"/>
    </row>
    <row r="711" spans="1:25" ht="15.75" customHeight="1">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229"/>
    </row>
    <row r="712" spans="1:25" ht="15.75" customHeight="1">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229"/>
    </row>
    <row r="713" spans="1:25" ht="15.75" customHeight="1">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229"/>
    </row>
    <row r="714" spans="1:25" ht="15.75" customHeight="1">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229"/>
    </row>
    <row r="715" spans="1:25" ht="15.75" customHeight="1">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229"/>
    </row>
    <row r="716" spans="1:25" ht="15.75" customHeight="1">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229"/>
    </row>
    <row r="717" spans="1:25" ht="15.75" customHeight="1">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229"/>
    </row>
    <row r="718" spans="1:25" ht="15.75" customHeight="1">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229"/>
    </row>
    <row r="719" spans="1:25" ht="15.75" customHeight="1">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229"/>
    </row>
    <row r="720" spans="1:25" ht="15.75" customHeight="1">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229"/>
    </row>
    <row r="721" spans="1:25" ht="15.75" customHeight="1">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229"/>
    </row>
    <row r="722" spans="1:25" ht="15.75" customHeight="1">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229"/>
    </row>
    <row r="723" spans="1:25" ht="15.75" customHeight="1">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229"/>
    </row>
    <row r="724" spans="1:25" ht="15.75" customHeight="1">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229"/>
    </row>
    <row r="725" spans="1:25" ht="15.75" customHeight="1">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229"/>
    </row>
    <row r="726" spans="1:25" ht="15.75" customHeight="1">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229"/>
    </row>
    <row r="727" spans="1:25" ht="15.75" customHeight="1">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229"/>
    </row>
    <row r="728" spans="1:25" ht="15.75" customHeight="1">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229"/>
    </row>
    <row r="729" spans="1:25" ht="15.75" customHeight="1">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229"/>
    </row>
    <row r="730" spans="1:25" ht="15.75" customHeight="1">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229"/>
    </row>
    <row r="731" spans="1:25" ht="15.75" customHeight="1">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229"/>
    </row>
    <row r="732" spans="1:25" ht="15.75" customHeight="1">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229"/>
    </row>
    <row r="733" spans="1:25" ht="15.75" customHeight="1">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229"/>
    </row>
    <row r="734" spans="1:25" ht="15.75" customHeight="1">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229"/>
    </row>
    <row r="735" spans="1:25" ht="15.75" customHeight="1">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229"/>
    </row>
    <row r="736" spans="1:25" ht="15.75" customHeight="1">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229"/>
    </row>
    <row r="737" spans="1:25" ht="15.75" customHeight="1">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229"/>
    </row>
    <row r="738" spans="1:25" ht="15.75" customHeight="1">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229"/>
    </row>
    <row r="739" spans="1:25" ht="15.75" customHeight="1">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229"/>
    </row>
    <row r="740" spans="1:25" ht="15.75" customHeight="1">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229"/>
    </row>
    <row r="741" spans="1:25" ht="15.75" customHeight="1">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229"/>
    </row>
    <row r="742" spans="1:25" ht="15.75" customHeight="1">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229"/>
    </row>
    <row r="743" spans="1:25" ht="15.75" customHeight="1">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229"/>
    </row>
    <row r="744" spans="1:25" ht="15.75" customHeight="1">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229"/>
    </row>
    <row r="745" spans="1:25" ht="15.75" customHeight="1">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229"/>
    </row>
    <row r="746" spans="1:25" ht="15.75" customHeight="1">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229"/>
    </row>
    <row r="747" spans="1:25" ht="15.75" customHeight="1">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229"/>
    </row>
    <row r="748" spans="1:25" ht="15.75" customHeight="1">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229"/>
    </row>
    <row r="749" spans="1:25" ht="15.75" customHeight="1">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229"/>
    </row>
    <row r="750" spans="1:25" ht="15.75" customHeight="1">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229"/>
    </row>
    <row r="751" spans="1:25" ht="15.75" customHeight="1">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229"/>
    </row>
    <row r="752" spans="1:25" ht="15.75" customHeight="1">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229"/>
    </row>
    <row r="753" spans="1:25" ht="15.75" customHeight="1">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229"/>
    </row>
    <row r="754" spans="1:25" ht="15.75" customHeight="1">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229"/>
    </row>
    <row r="755" spans="1:25" ht="15.75" customHeight="1">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229"/>
    </row>
    <row r="756" spans="1:25" ht="15.75" customHeight="1">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229"/>
    </row>
    <row r="757" spans="1:25" ht="15.75" customHeight="1">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229"/>
    </row>
    <row r="758" spans="1:25" ht="15.75" customHeight="1">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229"/>
    </row>
    <row r="759" spans="1:25" ht="15.75" customHeight="1">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229"/>
    </row>
    <row r="760" spans="1:25" ht="15.75" customHeight="1">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229"/>
    </row>
    <row r="761" spans="1:25" ht="15.75" customHeight="1">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229"/>
    </row>
    <row r="762" spans="1:25" ht="15.75" customHeight="1">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229"/>
    </row>
    <row r="763" spans="1:25" ht="15.75" customHeight="1">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229"/>
    </row>
    <row r="764" spans="1:25" ht="15.75" customHeight="1">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229"/>
    </row>
    <row r="765" spans="1:25" ht="15.75" customHeight="1">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229"/>
    </row>
    <row r="766" spans="1:25" ht="15.75" customHeight="1">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229"/>
    </row>
    <row r="767" spans="1:25" ht="15.75" customHeight="1">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229"/>
    </row>
    <row r="768" spans="1:25" ht="15.75" customHeight="1">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229"/>
    </row>
    <row r="769" spans="1:25" ht="15.75" customHeight="1">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229"/>
    </row>
    <row r="770" spans="1:25" ht="15.75" customHeight="1">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229"/>
    </row>
    <row r="771" spans="1:25" ht="15.75" customHeight="1">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229"/>
    </row>
    <row r="772" spans="1:25" ht="15.75" customHeight="1">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229"/>
    </row>
    <row r="773" spans="1:25" ht="15.75" customHeight="1">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229"/>
    </row>
    <row r="774" spans="1:25" ht="15.75" customHeight="1">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229"/>
    </row>
    <row r="775" spans="1:25" ht="15.75" customHeight="1">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229"/>
    </row>
    <row r="776" spans="1:25" ht="15.75" customHeight="1">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229"/>
    </row>
    <row r="777" spans="1:25" ht="15.75" customHeight="1">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229"/>
    </row>
    <row r="778" spans="1:25" ht="15.75" customHeight="1">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229"/>
    </row>
    <row r="779" spans="1:25" ht="15.75" customHeight="1">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229"/>
    </row>
    <row r="780" spans="1:25" ht="15.75" customHeight="1">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229"/>
    </row>
    <row r="781" spans="1:25" ht="15.75" customHeight="1">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229"/>
    </row>
    <row r="782" spans="1:25" ht="15.75" customHeight="1">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229"/>
    </row>
    <row r="783" spans="1:25" ht="15.75" customHeight="1">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229"/>
    </row>
    <row r="784" spans="1:25" ht="15.75" customHeight="1">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229"/>
    </row>
    <row r="785" spans="1:25" ht="15.75" customHeight="1">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229"/>
    </row>
    <row r="786" spans="1:25" ht="15.75" customHeight="1">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229"/>
    </row>
    <row r="787" spans="1:25" ht="15.75" customHeight="1">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229"/>
    </row>
    <row r="788" spans="1:25" ht="15.75" customHeight="1">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229"/>
    </row>
    <row r="789" spans="1:25" ht="15.75" customHeight="1">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229"/>
    </row>
    <row r="790" spans="1:25" ht="15.75" customHeight="1">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229"/>
    </row>
    <row r="791" spans="1:25" ht="15.75" customHeight="1">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229"/>
    </row>
    <row r="792" spans="1:25" ht="15.75" customHeight="1">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229"/>
    </row>
    <row r="793" spans="1:25" ht="15.75" customHeight="1">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229"/>
    </row>
    <row r="794" spans="1:25" ht="15.75" customHeight="1">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229"/>
    </row>
    <row r="795" spans="1:25" ht="15.75" customHeight="1">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229"/>
    </row>
    <row r="796" spans="1:25" ht="15.75" customHeight="1">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229"/>
    </row>
    <row r="797" spans="1:25" ht="15.75" customHeight="1">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229"/>
    </row>
    <row r="798" spans="1:25" ht="15.75" customHeight="1">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229"/>
    </row>
    <row r="799" spans="1:25" ht="15.75" customHeight="1">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229"/>
    </row>
    <row r="800" spans="1:25" ht="15.75" customHeight="1">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229"/>
    </row>
    <row r="801" spans="1:25" ht="15.75" customHeight="1">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229"/>
    </row>
    <row r="802" spans="1:25" ht="15.75" customHeight="1">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229"/>
    </row>
    <row r="803" spans="1:25" ht="15.75" customHeight="1">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229"/>
    </row>
    <row r="804" spans="1:25" ht="15.75" customHeight="1">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229"/>
    </row>
    <row r="805" spans="1:25" ht="15.75" customHeight="1">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229"/>
    </row>
    <row r="806" spans="1:25" ht="15.75" customHeight="1">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229"/>
    </row>
    <row r="807" spans="1:25" ht="15.75" customHeight="1">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229"/>
    </row>
    <row r="808" spans="1:25" ht="15.75" customHeight="1">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229"/>
    </row>
    <row r="809" spans="1:25" ht="15.75" customHeight="1">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229"/>
    </row>
    <row r="810" spans="1:25" ht="15.75" customHeight="1">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229"/>
    </row>
    <row r="811" spans="1:25" ht="15.75" customHeight="1">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229"/>
    </row>
    <row r="812" spans="1:25" ht="15.75" customHeight="1">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229"/>
    </row>
    <row r="813" spans="1:25" ht="15.75" customHeight="1">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229"/>
    </row>
    <row r="814" spans="1:25" ht="15.75" customHeight="1">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229"/>
    </row>
    <row r="815" spans="1:25" ht="15.75" customHeight="1">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229"/>
    </row>
    <row r="816" spans="1:25" ht="15.75" customHeight="1">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229"/>
    </row>
    <row r="817" spans="1:25" ht="15.75" customHeight="1">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229"/>
    </row>
    <row r="818" spans="1:25" ht="15.75" customHeight="1">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229"/>
    </row>
    <row r="819" spans="1:25" ht="15.75" customHeight="1">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229"/>
    </row>
    <row r="820" spans="1:25" ht="15.75" customHeight="1">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229"/>
    </row>
    <row r="821" spans="1:25" ht="15.75" customHeight="1">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229"/>
    </row>
    <row r="822" spans="1:25" ht="15.75" customHeight="1">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229"/>
    </row>
    <row r="823" spans="1:25" ht="15.75" customHeight="1">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229"/>
    </row>
    <row r="824" spans="1:25" ht="15.75" customHeight="1">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229"/>
    </row>
    <row r="825" spans="1:25" ht="15.75" customHeight="1">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229"/>
    </row>
    <row r="826" spans="1:25" ht="15.75" customHeight="1">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229"/>
    </row>
    <row r="827" spans="1:25" ht="15.75" customHeight="1">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229"/>
    </row>
    <row r="828" spans="1:25" ht="15.75" customHeight="1">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229"/>
    </row>
    <row r="829" spans="1:25" ht="15.75" customHeight="1">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229"/>
    </row>
    <row r="830" spans="1:25" ht="15.75" customHeight="1">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229"/>
    </row>
    <row r="831" spans="1:25" ht="15.75" customHeight="1">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229"/>
    </row>
    <row r="832" spans="1:25" ht="15.75" customHeight="1">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229"/>
    </row>
    <row r="833" spans="1:25" ht="15.75" customHeight="1">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229"/>
    </row>
    <row r="834" spans="1:25" ht="15.75" customHeight="1">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229"/>
    </row>
    <row r="835" spans="1:25" ht="15.75" customHeight="1">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229"/>
    </row>
    <row r="836" spans="1:25" ht="15.75" customHeight="1">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229"/>
    </row>
    <row r="837" spans="1:25" ht="15.75" customHeight="1">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229"/>
    </row>
    <row r="838" spans="1:25" ht="15.75" customHeight="1">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229"/>
    </row>
    <row r="839" spans="1:25" ht="15.75" customHeight="1">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229"/>
    </row>
    <row r="840" spans="1:25" ht="15.75" customHeight="1">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229"/>
    </row>
    <row r="841" spans="1:25" ht="15.75" customHeight="1">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229"/>
    </row>
    <row r="842" spans="1:25" ht="15.75" customHeight="1">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229"/>
    </row>
    <row r="843" spans="1:25" ht="15.75" customHeight="1">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229"/>
    </row>
    <row r="844" spans="1:25" ht="15.75" customHeight="1">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229"/>
    </row>
    <row r="845" spans="1:25" ht="15.75" customHeight="1">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229"/>
    </row>
    <row r="846" spans="1:25" ht="15.75" customHeight="1">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229"/>
    </row>
    <row r="847" spans="1:25" ht="15.75" customHeight="1">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229"/>
    </row>
    <row r="848" spans="1:25" ht="15.75" customHeight="1">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229"/>
    </row>
    <row r="849" spans="1:25" ht="15.75" customHeight="1">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229"/>
    </row>
    <row r="850" spans="1:25" ht="15.75" customHeight="1">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229"/>
    </row>
    <row r="851" spans="1:25" ht="15.75" customHeight="1">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229"/>
    </row>
    <row r="852" spans="1:25" ht="15.75" customHeight="1">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229"/>
    </row>
    <row r="853" spans="1:25" ht="15.75" customHeight="1">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229"/>
    </row>
    <row r="854" spans="1:25" ht="15.75" customHeight="1">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229"/>
    </row>
    <row r="855" spans="1:25" ht="15.75" customHeight="1">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229"/>
    </row>
    <row r="856" spans="1:25" ht="15.75" customHeight="1">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229"/>
    </row>
    <row r="857" spans="1:25" ht="15.75" customHeight="1">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229"/>
    </row>
    <row r="858" spans="1:25" ht="15.75" customHeight="1">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229"/>
    </row>
    <row r="859" spans="1:25" ht="15.75" customHeight="1">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229"/>
    </row>
    <row r="860" spans="1:25" ht="15.75" customHeight="1">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229"/>
    </row>
    <row r="861" spans="1:25" ht="15.75" customHeight="1">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229"/>
    </row>
    <row r="862" spans="1:25" ht="15.75" customHeight="1">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229"/>
    </row>
    <row r="863" spans="1:25" ht="15.75" customHeight="1">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229"/>
    </row>
    <row r="864" spans="1:25" ht="15.75" customHeight="1">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229"/>
    </row>
    <row r="865" spans="1:25" ht="15.75" customHeight="1">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229"/>
    </row>
    <row r="866" spans="1:25" ht="15.75" customHeight="1">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229"/>
    </row>
    <row r="867" spans="1:25" ht="15.75" customHeight="1">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229"/>
    </row>
    <row r="868" spans="1:25" ht="15.75" customHeight="1">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229"/>
    </row>
    <row r="869" spans="1:25" ht="15.75" customHeight="1">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229"/>
    </row>
    <row r="870" spans="1:25" ht="15.75" customHeight="1">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229"/>
    </row>
    <row r="871" spans="1:25" ht="15.75" customHeight="1">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229"/>
    </row>
    <row r="872" spans="1:25" ht="15.75" customHeight="1">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229"/>
    </row>
    <row r="873" spans="1:25" ht="15.75" customHeight="1">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229"/>
    </row>
    <row r="874" spans="1:25" ht="15.75" customHeight="1">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229"/>
    </row>
    <row r="875" spans="1:25" ht="15.75" customHeight="1">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229"/>
    </row>
    <row r="876" spans="1:25" ht="15.75" customHeight="1">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229"/>
    </row>
    <row r="877" spans="1:25" ht="15.75" customHeight="1">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229"/>
    </row>
    <row r="878" spans="1:25" ht="15.75" customHeight="1">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229"/>
    </row>
    <row r="879" spans="1:25" ht="15.75" customHeight="1">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229"/>
    </row>
    <row r="880" spans="1:25" ht="15.75" customHeight="1">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229"/>
    </row>
    <row r="881" spans="1:25" ht="15.75" customHeight="1">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229"/>
    </row>
    <row r="882" spans="1:25" ht="15.75" customHeight="1">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229"/>
    </row>
    <row r="883" spans="1:25" ht="15.75" customHeight="1">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229"/>
    </row>
    <row r="884" spans="1:25" ht="15.75" customHeight="1">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229"/>
    </row>
    <row r="885" spans="1:25" ht="15.75" customHeight="1">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229"/>
    </row>
    <row r="886" spans="1:25" ht="15.75" customHeight="1">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229"/>
    </row>
    <row r="887" spans="1:25" ht="15.75" customHeight="1">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229"/>
    </row>
    <row r="888" spans="1:25" ht="15.75" customHeight="1">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229"/>
    </row>
    <row r="889" spans="1:25" ht="15.75" customHeight="1">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229"/>
    </row>
    <row r="890" spans="1:25" ht="15.75" customHeight="1">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229"/>
    </row>
    <row r="891" spans="1:25" ht="15.75" customHeight="1">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229"/>
    </row>
    <row r="892" spans="1:25" ht="15.75" customHeight="1">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229"/>
    </row>
    <row r="893" spans="1:25" ht="15.75" customHeight="1">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229"/>
    </row>
    <row r="894" spans="1:25" ht="15.75" customHeight="1">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229"/>
    </row>
    <row r="895" spans="1:25" ht="15.75" customHeight="1">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229"/>
    </row>
    <row r="896" spans="1:25" ht="15.75" customHeight="1">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229"/>
    </row>
    <row r="897" spans="1:25" ht="15.75" customHeight="1">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229"/>
    </row>
    <row r="898" spans="1:25" ht="15.75" customHeight="1">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229"/>
    </row>
    <row r="899" spans="1:25" ht="15.75" customHeight="1">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229"/>
    </row>
    <row r="900" spans="1:25" ht="15.75" customHeight="1">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229"/>
    </row>
    <row r="901" spans="1:25" ht="15.75" customHeight="1">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229"/>
    </row>
    <row r="902" spans="1:25" ht="15.75" customHeight="1">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229"/>
    </row>
    <row r="903" spans="1:25" ht="15.75" customHeight="1">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229"/>
    </row>
    <row r="904" spans="1:25" ht="15.75" customHeight="1">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229"/>
    </row>
    <row r="905" spans="1:25" ht="15.75" customHeight="1">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229"/>
    </row>
    <row r="906" spans="1:25" ht="15.75" customHeight="1">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229"/>
    </row>
    <row r="907" spans="1:25" ht="15.75" customHeight="1">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229"/>
    </row>
    <row r="908" spans="1:25" ht="15.75" customHeight="1">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229"/>
    </row>
    <row r="909" spans="1:25" ht="15.75" customHeight="1">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229"/>
    </row>
    <row r="910" spans="1:25" ht="15.75" customHeight="1">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229"/>
    </row>
    <row r="911" spans="1:25" ht="15.75" customHeight="1">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229"/>
    </row>
    <row r="912" spans="1:25" ht="15.75" customHeight="1">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229"/>
    </row>
    <row r="913" spans="1:25" ht="15.75" customHeight="1">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229"/>
    </row>
    <row r="914" spans="1:25" ht="15.75" customHeight="1">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229"/>
    </row>
    <row r="915" spans="1:25" ht="15.75" customHeight="1">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229"/>
    </row>
    <row r="916" spans="1:25" ht="15.75" customHeight="1">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229"/>
    </row>
    <row r="917" spans="1:25" ht="15.75" customHeight="1">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229"/>
    </row>
    <row r="918" spans="1:25" ht="15.75" customHeight="1">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229"/>
    </row>
    <row r="919" spans="1:25" ht="15.75" customHeight="1">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229"/>
    </row>
    <row r="920" spans="1:25" ht="15.75" customHeight="1">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229"/>
    </row>
    <row r="921" spans="1:25" ht="15.75" customHeight="1">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229"/>
    </row>
    <row r="922" spans="1:25" ht="15.75" customHeight="1">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229"/>
    </row>
    <row r="923" spans="1:25" ht="15.75" customHeight="1">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229"/>
    </row>
    <row r="924" spans="1:25" ht="15.75" customHeight="1">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229"/>
    </row>
    <row r="925" spans="1:25" ht="15.75" customHeight="1">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229"/>
    </row>
    <row r="926" spans="1:25" ht="15.75" customHeight="1">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229"/>
    </row>
    <row r="927" spans="1:25" ht="15.75" customHeight="1">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229"/>
    </row>
    <row r="928" spans="1:25" ht="15.75" customHeight="1">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229"/>
    </row>
    <row r="929" spans="1:25" ht="15.75" customHeight="1">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229"/>
    </row>
    <row r="930" spans="1:25" ht="15.75" customHeight="1">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229"/>
    </row>
    <row r="931" spans="1:25" ht="15.75" customHeight="1">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229"/>
    </row>
    <row r="932" spans="1:25" ht="15.75" customHeight="1">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229"/>
    </row>
    <row r="933" spans="1:25" ht="15.75" customHeight="1">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229"/>
    </row>
    <row r="934" spans="1:25" ht="15.75" customHeight="1">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229"/>
    </row>
    <row r="935" spans="1:25" ht="15.75" customHeight="1">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229"/>
    </row>
    <row r="936" spans="1:25" ht="15.75" customHeight="1">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229"/>
    </row>
    <row r="937" spans="1:25" ht="15.75" customHeight="1">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229"/>
    </row>
    <row r="938" spans="1:25" ht="15.75" customHeight="1">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229"/>
    </row>
    <row r="939" spans="1:25" ht="15.75" customHeight="1">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229"/>
    </row>
    <row r="940" spans="1:25" ht="15.75" customHeight="1">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229"/>
    </row>
    <row r="941" spans="1:25" ht="15.75" customHeight="1">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229"/>
    </row>
    <row r="942" spans="1:25" ht="15.75" customHeight="1">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229"/>
    </row>
    <row r="943" spans="1:25" ht="15.75" customHeight="1">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229"/>
    </row>
    <row r="944" spans="1:25" ht="15.75" customHeight="1">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229"/>
    </row>
    <row r="945" spans="1:25" ht="15.75" customHeight="1">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229"/>
    </row>
    <row r="946" spans="1:25" ht="15.75" customHeight="1">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229"/>
    </row>
    <row r="947" spans="1:25" ht="15.75" customHeight="1">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229"/>
    </row>
    <row r="948" spans="1:25" ht="15.75" customHeight="1">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229"/>
    </row>
    <row r="949" spans="1:25" ht="15.75" customHeight="1">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229"/>
    </row>
    <row r="950" spans="1:25" ht="15.75" customHeight="1">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229"/>
    </row>
    <row r="951" spans="1:25" ht="15.75" customHeight="1">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229"/>
    </row>
    <row r="952" spans="1:25" ht="15.75" customHeight="1">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229"/>
    </row>
    <row r="953" spans="1:25" ht="15.75" customHeight="1">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229"/>
    </row>
    <row r="954" spans="1:25" ht="15.75" customHeight="1">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229"/>
    </row>
    <row r="955" spans="1:25" ht="15.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229"/>
    </row>
    <row r="956" spans="1:25" ht="15.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229"/>
    </row>
    <row r="957" spans="1:25" ht="15.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229"/>
    </row>
    <row r="958" spans="1:25" ht="15.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229"/>
    </row>
    <row r="959" spans="1:25" ht="15.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229"/>
    </row>
    <row r="960" spans="1:25" ht="15.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229"/>
    </row>
    <row r="961" spans="1:25" ht="15.75" customHeight="1">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229"/>
    </row>
    <row r="962" spans="1:25" ht="15.75" customHeight="1">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229"/>
    </row>
    <row r="963" spans="1:25" ht="15.75" customHeight="1">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229"/>
    </row>
    <row r="964" spans="1:25" ht="15.75" customHeight="1">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229"/>
    </row>
    <row r="965" spans="1:25" ht="15.75" customHeight="1">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229"/>
    </row>
    <row r="966" spans="1:25" ht="15.75" customHeight="1">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229"/>
    </row>
    <row r="967" spans="1:25" ht="15.75" customHeight="1">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229"/>
    </row>
    <row r="968" spans="1:25" ht="15.75" customHeight="1">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229"/>
    </row>
    <row r="969" spans="1:25" ht="15.75" customHeight="1">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229"/>
    </row>
    <row r="970" spans="1:25" ht="15.75" customHeight="1">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229"/>
    </row>
    <row r="971" spans="1:25" ht="15.75" customHeight="1">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229"/>
    </row>
    <row r="972" spans="1:25" ht="15.75" customHeight="1">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229"/>
    </row>
    <row r="973" spans="1:25" ht="15.75">
      <c r="Y973" s="229"/>
    </row>
    <row r="974" spans="1:25" ht="15.75">
      <c r="Y974" s="229"/>
    </row>
    <row r="975" spans="1:25" ht="15.75">
      <c r="Y975" s="229"/>
    </row>
    <row r="976" spans="1:25" ht="15.75">
      <c r="Y976" s="229"/>
    </row>
    <row r="977" spans="25:25" ht="15.75">
      <c r="Y977" s="229"/>
    </row>
    <row r="978" spans="25:25" ht="15.75">
      <c r="Y978" s="229"/>
    </row>
    <row r="979" spans="25:25" ht="15.75">
      <c r="Y979" s="229"/>
    </row>
    <row r="980" spans="25:25" ht="15.75">
      <c r="Y980" s="229"/>
    </row>
    <row r="981" spans="25:25" ht="15.75">
      <c r="Y981" s="229"/>
    </row>
    <row r="982" spans="25:25" ht="15.75">
      <c r="Y982" s="229"/>
    </row>
    <row r="983" spans="25:25" ht="15.75">
      <c r="Y983" s="229"/>
    </row>
    <row r="984" spans="25:25" ht="15.75">
      <c r="Y984" s="229"/>
    </row>
    <row r="985" spans="25:25" ht="15.75">
      <c r="Y985" s="229"/>
    </row>
    <row r="986" spans="25:25" ht="15.75">
      <c r="Y986" s="229"/>
    </row>
    <row r="987" spans="25:25" ht="15.75">
      <c r="Y987" s="229"/>
    </row>
    <row r="988" spans="25:25" ht="15.75">
      <c r="Y988" s="229"/>
    </row>
    <row r="989" spans="25:25" ht="15.75">
      <c r="Y989" s="229"/>
    </row>
    <row r="990" spans="25:25" ht="15.75">
      <c r="Y990" s="229"/>
    </row>
    <row r="991" spans="25:25" ht="15.75">
      <c r="Y991" s="229"/>
    </row>
    <row r="992" spans="25:25" ht="15.75">
      <c r="Y992" s="229"/>
    </row>
    <row r="993" spans="25:25" ht="15.75">
      <c r="Y993" s="229"/>
    </row>
    <row r="994" spans="25:25" ht="15.75">
      <c r="Y994" s="229"/>
    </row>
    <row r="995" spans="25:25" ht="15.75">
      <c r="Y995" s="229"/>
    </row>
    <row r="996" spans="25:25" ht="15.75">
      <c r="Y996" s="229"/>
    </row>
    <row r="997" spans="25:25" ht="15.75">
      <c r="Y997" s="229"/>
    </row>
    <row r="998" spans="25:25" ht="15.75">
      <c r="Y998" s="229"/>
    </row>
    <row r="999" spans="25:25" ht="15.75">
      <c r="Y999" s="229"/>
    </row>
    <row r="1000" spans="25:25" ht="15.75">
      <c r="Y1000" s="229"/>
    </row>
  </sheetData>
  <mergeCells count="98">
    <mergeCell ref="B216:D216"/>
    <mergeCell ref="A217:D217"/>
    <mergeCell ref="E1:L1"/>
    <mergeCell ref="A159:A216"/>
    <mergeCell ref="C159:C162"/>
    <mergeCell ref="A135:A158"/>
    <mergeCell ref="B135:B136"/>
    <mergeCell ref="B138:B144"/>
    <mergeCell ref="B145:B146"/>
    <mergeCell ref="B147:B149"/>
    <mergeCell ref="B150:B153"/>
    <mergeCell ref="B158:D158"/>
    <mergeCell ref="B173:B179"/>
    <mergeCell ref="C173:C179"/>
    <mergeCell ref="B180:B183"/>
    <mergeCell ref="C180:C183"/>
    <mergeCell ref="B184:B186"/>
    <mergeCell ref="C184:C186"/>
    <mergeCell ref="B187:B192"/>
    <mergeCell ref="B202:B203"/>
    <mergeCell ref="C202:C203"/>
    <mergeCell ref="B204:B206"/>
    <mergeCell ref="C204:C206"/>
    <mergeCell ref="C135:C136"/>
    <mergeCell ref="C138:C144"/>
    <mergeCell ref="C145:C146"/>
    <mergeCell ref="C147:C149"/>
    <mergeCell ref="C150:C153"/>
    <mergeCell ref="C187:C192"/>
    <mergeCell ref="B194:B199"/>
    <mergeCell ref="C194:C199"/>
    <mergeCell ref="B200:B201"/>
    <mergeCell ref="C200:C201"/>
    <mergeCell ref="B159:B162"/>
    <mergeCell ref="B163:B167"/>
    <mergeCell ref="C163:C167"/>
    <mergeCell ref="B168:B172"/>
    <mergeCell ref="C168:C172"/>
    <mergeCell ref="A69:A93"/>
    <mergeCell ref="B70:B74"/>
    <mergeCell ref="C70:C74"/>
    <mergeCell ref="C75:C78"/>
    <mergeCell ref="A94:A134"/>
    <mergeCell ref="B131:B132"/>
    <mergeCell ref="C131:C132"/>
    <mergeCell ref="B134:D134"/>
    <mergeCell ref="B128:B130"/>
    <mergeCell ref="C128:C130"/>
    <mergeCell ref="C106:C110"/>
    <mergeCell ref="B79:B85"/>
    <mergeCell ref="C79:C85"/>
    <mergeCell ref="B86:B89"/>
    <mergeCell ref="C86:C89"/>
    <mergeCell ref="B94:B103"/>
    <mergeCell ref="C94:C103"/>
    <mergeCell ref="B104:B105"/>
    <mergeCell ref="C104:C105"/>
    <mergeCell ref="B106:B110"/>
    <mergeCell ref="B119:B120"/>
    <mergeCell ref="C119:C120"/>
    <mergeCell ref="B122:B125"/>
    <mergeCell ref="C122:C125"/>
    <mergeCell ref="B111:B113"/>
    <mergeCell ref="C111:C113"/>
    <mergeCell ref="B114:B118"/>
    <mergeCell ref="C114:C118"/>
    <mergeCell ref="B93:D93"/>
    <mergeCell ref="A6:A68"/>
    <mergeCell ref="B6:B23"/>
    <mergeCell ref="C6:C23"/>
    <mergeCell ref="B24:B25"/>
    <mergeCell ref="C24:C25"/>
    <mergeCell ref="B68:D68"/>
    <mergeCell ref="B47:B56"/>
    <mergeCell ref="C47:C56"/>
    <mergeCell ref="B57:B66"/>
    <mergeCell ref="C57:C66"/>
    <mergeCell ref="B40:B46"/>
    <mergeCell ref="C40:C46"/>
    <mergeCell ref="B26:B36"/>
    <mergeCell ref="C26:C36"/>
    <mergeCell ref="B75:B78"/>
    <mergeCell ref="B37:B39"/>
    <mergeCell ref="C37:C39"/>
    <mergeCell ref="L4:M4"/>
    <mergeCell ref="N4:Q4"/>
    <mergeCell ref="R4:S4"/>
    <mergeCell ref="X3:Y3"/>
    <mergeCell ref="A4:A5"/>
    <mergeCell ref="B4:B5"/>
    <mergeCell ref="C4:C5"/>
    <mergeCell ref="D4:D5"/>
    <mergeCell ref="E4:E5"/>
    <mergeCell ref="H4:K4"/>
    <mergeCell ref="F4:G4"/>
    <mergeCell ref="Y4:Y5"/>
    <mergeCell ref="T4:U4"/>
    <mergeCell ref="V4:W4"/>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18</vt:i4>
      </vt:variant>
    </vt:vector>
  </HeadingPairs>
  <TitlesOfParts>
    <vt:vector size="18" baseType="lpstr">
      <vt:lpstr>TVM</vt:lpstr>
      <vt:lpstr>KLM</vt:lpstr>
      <vt:lpstr>PTA</vt:lpstr>
      <vt:lpstr>ALP</vt:lpstr>
      <vt:lpstr>KTM</vt:lpstr>
      <vt:lpstr>IDK</vt:lpstr>
      <vt:lpstr>EKM</vt:lpstr>
      <vt:lpstr>TSR</vt:lpstr>
      <vt:lpstr>PLKD</vt:lpstr>
      <vt:lpstr>MLPM</vt:lpstr>
      <vt:lpstr>KKD</vt:lpstr>
      <vt:lpstr>WYND</vt:lpstr>
      <vt:lpstr>KNR</vt:lpstr>
      <vt:lpstr>KSRGD</vt:lpstr>
      <vt:lpstr>SHS</vt:lpstr>
      <vt:lpstr>TOTAL</vt:lpstr>
      <vt:lpstr>district total</vt:lpstr>
      <vt:lpstr>Summary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2026-07-24T08:08:43Z</cp:lastPrinted>
  <dcterms:created xsi:type="dcterms:W3CDTF">2026-07-20T11:00:00Z</dcterms:created>
  <dcterms:modified xsi:type="dcterms:W3CDTF">2026-07-24T08:19:05Z</dcterms:modified>
</cp:coreProperties>
</file>